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53222"/>
  <mc:AlternateContent xmlns:mc="http://schemas.openxmlformats.org/markup-compatibility/2006">
    <mc:Choice Requires="x15">
      <x15ac:absPath xmlns:x15ac="http://schemas.microsoft.com/office/spreadsheetml/2010/11/ac" url="C:\Irisys\Documentation\Calculators\"/>
    </mc:Choice>
  </mc:AlternateContent>
  <bookViews>
    <workbookView xWindow="0" yWindow="0" windowWidth="12264" windowHeight="3144" tabRatio="781"/>
  </bookViews>
  <sheets>
    <sheet name="Instructions" sheetId="6" r:id="rId1"/>
    <sheet name="Field Of View" sheetId="1" r:id="rId2"/>
    <sheet name="No Of Units" sheetId="10" r:id="rId3"/>
    <sheet name="Distance From Door" sheetId="3" r:id="rId4"/>
    <sheet name="Wide Opening Separation" sheetId="5" r:id="rId5"/>
    <sheet name="Wide Opening Separation (Mixed)" sheetId="9" r:id="rId6"/>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 i="1" l="1"/>
  <c r="K7" i="1" s="1"/>
  <c r="O7" i="9" l="1"/>
  <c r="R7" i="9" s="1"/>
  <c r="K7" i="9"/>
  <c r="N7" i="9" s="1"/>
  <c r="Q5" i="9"/>
  <c r="I5" i="9" s="1"/>
  <c r="O5" i="9"/>
  <c r="G5" i="9" s="1"/>
  <c r="M5" i="9"/>
  <c r="E5" i="9" s="1"/>
  <c r="K5" i="9"/>
  <c r="C5" i="9" s="1"/>
  <c r="H7" i="5"/>
  <c r="V17" i="9" l="1"/>
  <c r="V18" i="9"/>
  <c r="P5" i="5"/>
  <c r="K7" i="5"/>
  <c r="P3" i="5"/>
  <c r="P4" i="5"/>
  <c r="P2" i="5"/>
  <c r="H7" i="3"/>
  <c r="K7" i="3" s="1"/>
  <c r="J5" i="5"/>
  <c r="E5" i="5" s="1"/>
  <c r="H5" i="5"/>
  <c r="J5" i="3"/>
  <c r="E5" i="3" s="1"/>
  <c r="H5" i="3"/>
  <c r="C5" i="3" s="1"/>
  <c r="H7" i="10"/>
  <c r="J5" i="10"/>
  <c r="H5" i="10"/>
  <c r="C5" i="10" s="1"/>
  <c r="J5" i="1"/>
  <c r="E5" i="1" s="1"/>
  <c r="H5" i="1"/>
  <c r="C15" i="3" l="1"/>
  <c r="C15" i="9"/>
  <c r="T2" i="10"/>
  <c r="K7" i="10"/>
  <c r="P2" i="10"/>
  <c r="P5" i="10"/>
  <c r="P4" i="10"/>
  <c r="P3" i="10"/>
  <c r="P2" i="1"/>
  <c r="P5" i="1"/>
  <c r="P4" i="1"/>
  <c r="P3" i="1"/>
  <c r="T4" i="9"/>
  <c r="T5" i="9"/>
  <c r="T2" i="9"/>
  <c r="T3" i="9"/>
  <c r="U4" i="9"/>
  <c r="U5" i="9"/>
  <c r="U2" i="9"/>
  <c r="U3" i="9"/>
  <c r="P2" i="3"/>
  <c r="P5" i="3"/>
  <c r="P4" i="3"/>
  <c r="P3" i="3"/>
  <c r="C5" i="5"/>
  <c r="C15" i="5" s="1"/>
  <c r="C5" i="1"/>
  <c r="C13" i="1" s="1"/>
  <c r="E5" i="10"/>
  <c r="H9" i="10" l="1"/>
  <c r="K9" i="10" s="1"/>
  <c r="U3" i="10" l="1"/>
  <c r="T3" i="10"/>
  <c r="H12" i="10" s="1"/>
  <c r="U5" i="10"/>
  <c r="U4" i="10"/>
  <c r="U2" i="10"/>
  <c r="T5" i="10"/>
  <c r="T4" i="10"/>
  <c r="C15" i="10" l="1"/>
  <c r="C12" i="10"/>
  <c r="U5" i="5" l="1"/>
  <c r="T5" i="5"/>
  <c r="W5" i="5" s="1"/>
  <c r="U4" i="5"/>
  <c r="T4" i="5"/>
  <c r="W4" i="5" s="1"/>
  <c r="U3" i="5"/>
  <c r="T3" i="5"/>
  <c r="W3" i="5" s="1"/>
  <c r="U2" i="5"/>
  <c r="AC2" i="5" s="1"/>
  <c r="T2" i="5"/>
  <c r="W2" i="5" s="1"/>
  <c r="H12" i="5" l="1"/>
  <c r="J10" i="5"/>
  <c r="X2" i="5"/>
  <c r="X4" i="5"/>
  <c r="AC4" i="5"/>
  <c r="H10" i="5" s="1"/>
  <c r="X3" i="5"/>
  <c r="AC3" i="5"/>
  <c r="X5" i="5"/>
  <c r="AC5" i="5"/>
  <c r="C10" i="5" l="1"/>
  <c r="C12" i="5"/>
  <c r="E10" i="5"/>
  <c r="U5" i="3"/>
  <c r="T5" i="3"/>
  <c r="U4" i="3"/>
  <c r="T4" i="3"/>
  <c r="U3" i="3"/>
  <c r="T3" i="3"/>
  <c r="U2" i="3"/>
  <c r="T2" i="3"/>
  <c r="U5" i="1"/>
  <c r="T5" i="1"/>
  <c r="U4" i="1"/>
  <c r="T4" i="1"/>
  <c r="U3" i="1"/>
  <c r="T3" i="1"/>
  <c r="U2" i="1"/>
  <c r="T2" i="1"/>
  <c r="H10" i="1" s="1"/>
  <c r="C10" i="1" l="1"/>
  <c r="Z2" i="3"/>
  <c r="Z4" i="3"/>
  <c r="AA4" i="3" s="1"/>
  <c r="Z3" i="3"/>
  <c r="AA3" i="3" s="1"/>
  <c r="Z5" i="3"/>
  <c r="AA5" i="3" s="1"/>
  <c r="Z5" i="9"/>
  <c r="AC5" i="9" s="1"/>
  <c r="Y5" i="9"/>
  <c r="AB5" i="9" s="1"/>
  <c r="Z4" i="9"/>
  <c r="AC4" i="9" s="1"/>
  <c r="Y4" i="9"/>
  <c r="AB4" i="9" s="1"/>
  <c r="Z3" i="9"/>
  <c r="AC3" i="9" s="1"/>
  <c r="Y3" i="9"/>
  <c r="AB3" i="9" s="1"/>
  <c r="Z2" i="9"/>
  <c r="AC2" i="9" s="1"/>
  <c r="Y2" i="9"/>
  <c r="AB2" i="9" s="1"/>
  <c r="M10" i="9" l="1"/>
  <c r="K10" i="9" s="1"/>
  <c r="AC2" i="3"/>
  <c r="AA2" i="3"/>
  <c r="AC5" i="3"/>
  <c r="AD5" i="3"/>
  <c r="AC4" i="3"/>
  <c r="AD4" i="3"/>
  <c r="AC3" i="3"/>
  <c r="AD3" i="3"/>
  <c r="K12" i="9" l="1"/>
  <c r="H10" i="3"/>
  <c r="C10" i="3" s="1"/>
  <c r="AE5" i="3"/>
  <c r="J10" i="3"/>
  <c r="E10" i="3" s="1"/>
  <c r="AE4" i="3"/>
  <c r="AE2" i="3"/>
  <c r="H12" i="3" s="1"/>
  <c r="C12" i="3" s="1"/>
  <c r="AE3" i="3"/>
  <c r="C12" i="9" l="1"/>
  <c r="K14" i="9" l="1"/>
  <c r="E10" i="9"/>
  <c r="C10" i="9"/>
</calcChain>
</file>

<file path=xl/sharedStrings.xml><?xml version="1.0" encoding="utf-8"?>
<sst xmlns="http://schemas.openxmlformats.org/spreadsheetml/2006/main" count="251" uniqueCount="42">
  <si>
    <t>Mounting Height</t>
  </si>
  <si>
    <t>Lens Variant</t>
  </si>
  <si>
    <t>Field of View</t>
  </si>
  <si>
    <t>:</t>
  </si>
  <si>
    <t>60°</t>
  </si>
  <si>
    <t>Height Range</t>
  </si>
  <si>
    <t>Min</t>
  </si>
  <si>
    <t>Max</t>
  </si>
  <si>
    <t>Door Width</t>
  </si>
  <si>
    <t>No Of Units</t>
  </si>
  <si>
    <t>Typical</t>
  </si>
  <si>
    <t>Minimum</t>
  </si>
  <si>
    <t>Optimum Distance From Door</t>
  </si>
  <si>
    <t>m</t>
  </si>
  <si>
    <t>Max Distance from door</t>
  </si>
  <si>
    <t>Min Distance</t>
  </si>
  <si>
    <t>Distance from door range</t>
  </si>
  <si>
    <t>Optimum</t>
  </si>
  <si>
    <t>Wide Opening Separation</t>
  </si>
  <si>
    <t>% Weighting</t>
  </si>
  <si>
    <t>Wide Opening separation Range</t>
  </si>
  <si>
    <t>-</t>
  </si>
  <si>
    <t>1/2 Typ</t>
  </si>
  <si>
    <t>1/2 Min</t>
  </si>
  <si>
    <t>20°</t>
  </si>
  <si>
    <t>90°</t>
  </si>
  <si>
    <t>40°</t>
  </si>
  <si>
    <t>Typ/2</t>
  </si>
  <si>
    <t>% weight</t>
  </si>
  <si>
    <t>Opt weight</t>
  </si>
  <si>
    <t>Sensource</t>
  </si>
  <si>
    <t>mm</t>
  </si>
  <si>
    <t>cm</t>
  </si>
  <si>
    <t>ft</t>
  </si>
  <si>
    <t>inches</t>
  </si>
  <si>
    <t>HIDE</t>
  </si>
  <si>
    <t>Notes</t>
  </si>
  <si>
    <t>Lens 1</t>
  </si>
  <si>
    <t>Lens 2</t>
  </si>
  <si>
    <t>Unit 1</t>
  </si>
  <si>
    <t>Unit 2</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</si>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</sst>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thin">
        <color rgb="FF00B050"/>
      </left>
      <right style="thin">
        <color rgb="FF00B050"/>
      </right>
      <top style="thin">
        <color rgb="FF00B050"/>
      </top>
      <bottom style="thin">
        <color rgb="FF00B050"/>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bottom/>
      <diagonal/>
    </border>
    <border>
      <left style="thin">
        <color auto="1"/>
      </left>
      <right style="thin">
        <color auto="1"/>
      </right>
      <top style="thin">
        <color auto="1"/>
      </top>
      <bottom style="thin">
        <color auto="1"/>
      </bottom>
      <diagonal/>
    </border>
    <border>
      <left style="thin">
        <color rgb="FFFF0000"/>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rgb="FF00B050"/>
      </left>
      <right/>
      <top/>
      <bottom/>
      <diagonal/>
    </border>
  </borders>
  <cellStyleXfs count="1">
    <xf numFmtId="0" fontId="0" fillId="0" borderId="0"/>
  </cellStyleXfs>
  <cellXfs count="50">
    <xf numFmtId="0" fontId="0" fillId="0" borderId="0" xfId="0"/>
    <xf numFmtId="0" fontId="0" fillId="2" borderId="0" xfId="0" applyFill="1"/>
    <xf numFmtId="0" fontId="0" fillId="2" borderId="2" xfId="0" applyFill="1" applyBorder="1" applyAlignment="1" applyProtection="1">
      <alignment horizontal="center"/>
      <protection locked="0"/>
    </xf>
    <xf numFmtId="2" fontId="0" fillId="2" borderId="2" xfId="0" applyNumberFormat="1" applyFill="1" applyBorder="1" applyAlignment="1" applyProtection="1">
      <alignment horizontal="center"/>
      <protection locked="0"/>
    </xf>
    <xf numFmtId="0" fontId="0" fillId="2" borderId="0" xfId="0" applyFill="1" applyBorder="1" applyProtection="1"/>
    <xf numFmtId="0" fontId="0" fillId="2" borderId="0" xfId="0" applyFill="1" applyBorder="1" applyAlignment="1" applyProtection="1">
      <alignment horizontal="center"/>
    </xf>
    <xf numFmtId="0" fontId="0" fillId="2" borderId="0" xfId="0" applyFill="1" applyAlignment="1" applyProtection="1">
      <alignment horizontal="center"/>
    </xf>
    <xf numFmtId="0" fontId="0" fillId="2" borderId="0" xfId="0" applyFill="1" applyProtection="1"/>
    <xf numFmtId="0" fontId="0" fillId="0" borderId="0" xfId="0" applyProtection="1"/>
    <xf numFmtId="2" fontId="0" fillId="2" borderId="0" xfId="0" applyNumberFormat="1" applyFill="1" applyAlignment="1" applyProtection="1">
      <alignment horizontal="center"/>
    </xf>
    <xf numFmtId="2" fontId="0" fillId="2" borderId="3" xfId="0" applyNumberFormat="1" applyFill="1" applyBorder="1" applyAlignment="1" applyProtection="1">
      <alignment horizontal="center"/>
    </xf>
    <xf numFmtId="2" fontId="0" fillId="2" borderId="4" xfId="0" applyNumberFormat="1" applyFill="1" applyBorder="1" applyAlignment="1" applyProtection="1">
      <alignment horizontal="center"/>
    </xf>
    <xf numFmtId="0" fontId="0" fillId="2" borderId="0" xfId="0" applyFill="1" applyBorder="1" applyAlignment="1" applyProtection="1">
      <alignment horizontal="left"/>
    </xf>
    <xf numFmtId="2" fontId="0" fillId="2" borderId="0" xfId="0" applyNumberFormat="1" applyFill="1" applyBorder="1" applyAlignment="1" applyProtection="1">
      <alignment horizontal="center"/>
    </xf>
    <xf numFmtId="2" fontId="0" fillId="2" borderId="1" xfId="0" applyNumberFormat="1" applyFill="1" applyBorder="1" applyAlignment="1" applyProtection="1">
      <alignment horizontal="center"/>
    </xf>
    <xf numFmtId="0" fontId="0" fillId="0" borderId="0" xfId="0" applyAlignment="1" applyProtection="1">
      <alignment horizontal="center"/>
    </xf>
    <xf numFmtId="0" fontId="0" fillId="2" borderId="0" xfId="0" applyFill="1" applyAlignment="1" applyProtection="1">
      <alignment horizontal="center"/>
      <protection hidden="1"/>
    </xf>
    <xf numFmtId="0" fontId="0" fillId="2" borderId="0" xfId="0" applyFill="1" applyProtection="1">
      <protection hidden="1"/>
    </xf>
    <xf numFmtId="2" fontId="0" fillId="2" borderId="0" xfId="0" applyNumberFormat="1" applyFill="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0" fillId="2" borderId="1" xfId="0" applyFill="1" applyBorder="1" applyAlignment="1" applyProtection="1">
      <alignment horizontal="center"/>
    </xf>
    <xf numFmtId="0" fontId="0" fillId="2" borderId="0" xfId="0" applyFill="1" applyBorder="1" applyAlignment="1" applyProtection="1">
      <alignment horizontal="right"/>
    </xf>
    <xf numFmtId="0" fontId="0" fillId="2" borderId="0" xfId="0" applyFill="1" applyAlignment="1" applyProtection="1">
      <alignment horizontal="right"/>
    </xf>
    <xf numFmtId="0" fontId="0" fillId="0" borderId="0" xfId="0" applyAlignment="1" applyProtection="1">
      <alignment horizontal="right"/>
    </xf>
    <xf numFmtId="0" fontId="0" fillId="2" borderId="14" xfId="0" applyFill="1" applyBorder="1" applyAlignment="1" applyProtection="1">
      <alignment horizontal="center"/>
    </xf>
    <xf numFmtId="0" fontId="0" fillId="2" borderId="14" xfId="0" applyFill="1" applyBorder="1" applyProtection="1">
      <protection hidden="1"/>
    </xf>
    <xf numFmtId="2" fontId="0" fillId="2" borderId="2" xfId="0" applyNumberFormat="1" applyFill="1" applyBorder="1" applyAlignment="1" applyProtection="1">
      <alignment horizontal="center"/>
    </xf>
    <xf numFmtId="0" fontId="0" fillId="2" borderId="0" xfId="0" applyFill="1" applyAlignment="1" applyProtection="1">
      <alignment horizontal="left"/>
      <protection hidden="1"/>
    </xf>
    <xf numFmtId="0" fontId="0" fillId="2" borderId="7" xfId="0" applyFill="1" applyBorder="1" applyAlignment="1" applyProtection="1">
      <alignment horizontal="center"/>
    </xf>
    <xf numFmtId="0" fontId="0" fillId="2" borderId="0" xfId="0" applyFill="1" applyBorder="1" applyAlignment="1" applyProtection="1">
      <alignment horizontal="left"/>
      <protection locked="0"/>
    </xf>
    <xf numFmtId="0" fontId="0" fillId="2" borderId="5" xfId="0" applyFill="1" applyBorder="1" applyAlignment="1" applyProtection="1">
      <alignment horizontal="center"/>
    </xf>
    <xf numFmtId="0" fontId="0" fillId="2" borderId="15" xfId="0" applyFill="1" applyBorder="1" applyAlignment="1" applyProtection="1">
      <alignment horizontal="center"/>
    </xf>
    <xf numFmtId="0" fontId="0" fillId="0" borderId="0" xfId="0" applyBorder="1" applyProtection="1"/>
    <xf numFmtId="2" fontId="0" fillId="2" borderId="6" xfId="0" applyNumberFormat="1" applyFill="1" applyBorder="1" applyAlignment="1" applyProtection="1">
      <alignment horizontal="left"/>
    </xf>
    <xf numFmtId="0" fontId="0" fillId="2" borderId="8" xfId="0" applyFill="1" applyBorder="1" applyAlignment="1" applyProtection="1">
      <alignment horizontal="left" vertical="top" wrapText="1"/>
    </xf>
    <xf numFmtId="0" fontId="0" fillId="0" borderId="9" xfId="0" applyBorder="1" applyAlignment="1" applyProtection="1">
      <alignment horizontal="left" vertical="top" wrapText="1"/>
    </xf>
    <xf numFmtId="0" fontId="0" fillId="0" borderId="10" xfId="0" applyBorder="1" applyAlignment="1" applyProtection="1">
      <alignment horizontal="left" vertical="top" wrapText="1"/>
    </xf>
    <xf numFmtId="0" fontId="0" fillId="0" borderId="14"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7" xfId="0" applyBorder="1" applyAlignment="1" applyProtection="1">
      <alignment horizontal="left" vertical="top" wrapText="1"/>
    </xf>
    <xf numFmtId="0" fontId="0" fillId="0" borderId="11" xfId="0" applyBorder="1" applyAlignment="1" applyProtection="1">
      <alignment horizontal="left" vertical="top" wrapText="1"/>
    </xf>
    <xf numFmtId="0" fontId="0" fillId="0" borderId="12" xfId="0" applyBorder="1" applyAlignment="1" applyProtection="1">
      <alignment horizontal="left" vertical="top" wrapText="1"/>
    </xf>
    <xf numFmtId="0" fontId="0" fillId="0" borderId="13" xfId="0" applyBorder="1" applyAlignment="1" applyProtection="1">
      <alignment horizontal="left" vertical="top" wrapText="1"/>
    </xf>
    <xf numFmtId="0" fontId="0" fillId="0" borderId="9" xfId="0" applyBorder="1" applyAlignment="1" applyProtection="1">
      <alignment wrapText="1"/>
    </xf>
    <xf numFmtId="0" fontId="0" fillId="0" borderId="10" xfId="0" applyBorder="1" applyAlignment="1" applyProtection="1">
      <alignment wrapText="1"/>
    </xf>
    <xf numFmtId="0" fontId="0" fillId="0" borderId="0" xfId="0" applyBorder="1" applyAlignment="1" applyProtection="1">
      <alignment wrapText="1"/>
    </xf>
    <xf numFmtId="0" fontId="0" fillId="0" borderId="7" xfId="0" applyBorder="1" applyAlignment="1" applyProtection="1">
      <alignment wrapText="1"/>
    </xf>
    <xf numFmtId="0" fontId="0" fillId="0" borderId="12" xfId="0" applyBorder="1" applyAlignment="1" applyProtection="1">
      <alignment wrapText="1"/>
    </xf>
    <xf numFmtId="0" fontId="0" fillId="0" borderId="13" xfId="0" applyBorder="1" applyAlignment="1" applyProtection="1">
      <alignment wrapText="1"/>
    </xf>
  </cellXfs>
  <cellStyles count="1">
    <cellStyle name="Normal" xfId="0" builtinId="0"/>
  </cellStyles>
  <dxfs count="19">
    <dxf>
      <fill>
        <patternFill>
          <bgColor rgb="FFFFFF00"/>
        </patternFill>
      </fill>
    </dxf>
    <dxf>
      <fill>
        <patternFill>
          <bgColor rgb="FFCCFFCC"/>
        </patternFill>
      </fill>
    </dxf>
    <dxf>
      <fill>
        <patternFill>
          <bgColor rgb="FFFFFF00"/>
        </patternFill>
      </fill>
    </dxf>
    <dxf>
      <fill>
        <patternFill>
          <bgColor rgb="FFCCFFCC"/>
        </patternFill>
      </fill>
    </dxf>
    <dxf>
      <fill>
        <patternFill>
          <bgColor rgb="FFCCFFCC"/>
        </patternFill>
      </fill>
    </dxf>
    <dxf>
      <fill>
        <patternFill>
          <bgColor rgb="FFCCFFCC"/>
        </patternFill>
      </fill>
    </dxf>
    <dxf>
      <fill>
        <patternFill>
          <bgColor rgb="FFFFFF00"/>
        </patternFill>
      </fill>
    </dxf>
    <dxf>
      <fill>
        <patternFill>
          <bgColor rgb="FFCCFFCC"/>
        </patternFill>
      </fill>
    </dxf>
    <dxf>
      <fill>
        <patternFill>
          <bgColor rgb="FFCCFFCC"/>
        </patternFill>
      </fill>
    </dxf>
    <dxf>
      <fill>
        <patternFill>
          <bgColor rgb="FFFFFF00"/>
        </patternFill>
      </fill>
    </dxf>
    <dxf>
      <fill>
        <patternFill>
          <bgColor rgb="FFCCFFCC"/>
        </patternFill>
      </fill>
    </dxf>
    <dxf>
      <fill>
        <patternFill>
          <bgColor rgb="FFCCFFCC"/>
        </patternFill>
      </fill>
    </dxf>
    <dxf>
      <fill>
        <patternFill>
          <bgColor rgb="FFCCFFCC"/>
        </patternFill>
      </fill>
    </dxf>
    <dxf>
      <fill>
        <patternFill>
          <bgColor rgb="FFFFFF00"/>
        </patternFill>
      </fill>
    </dxf>
    <dxf>
      <fill>
        <patternFill>
          <bgColor rgb="FFCCFFCC"/>
        </patternFill>
      </fill>
    </dxf>
    <dxf>
      <fill>
        <patternFill>
          <bgColor rgb="FFCCFFCC"/>
        </patternFill>
      </fill>
    </dxf>
    <dxf>
      <fill>
        <patternFill>
          <bgColor rgb="FFFFFF00"/>
        </patternFill>
      </fill>
    </dxf>
    <dxf>
      <fill>
        <patternFill>
          <bgColor rgb="FFCCFFCC"/>
        </patternFill>
      </fill>
    </dxf>
    <dxf>
      <fill>
        <patternFill>
          <bgColor rgb="FFCCFFCC"/>
        </patternFill>
      </fill>
    </dxf>
  </dxfs>
  <tableStyles count="0" defaultTableStyle="TableStyleMedium2" defaultPivotStyle="PivotStyleLight16"/>
  <colors>
    <mruColors>
      <color rgb="FFFFFFB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297180</xdr:colOff>
      <xdr:row>1</xdr:row>
      <xdr:rowOff>91440</xdr:rowOff>
    </xdr:from>
    <xdr:to>
      <xdr:col>12</xdr:col>
      <xdr:colOff>281940</xdr:colOff>
      <xdr:row>25</xdr:row>
      <xdr:rowOff>160020</xdr:rowOff>
    </xdr:to>
    <xdr:sp macro="" textlink="">
      <xdr:nvSpPr>
        <xdr:cNvPr id="2" name="TextBox 1"/>
        <xdr:cNvSpPr txBox="1"/>
      </xdr:nvSpPr>
      <xdr:spPr>
        <a:xfrm>
          <a:off x="297180" y="274320"/>
          <a:ext cx="7299960" cy="445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Instructions for Use:</a:t>
          </a:r>
        </a:p>
        <a:p>
          <a:endParaRPr lang="en-GB" sz="1100"/>
        </a:p>
        <a:p>
          <a:r>
            <a:rPr lang="en-GB" sz="1100"/>
            <a:t>Choose the required</a:t>
          </a:r>
          <a:r>
            <a:rPr lang="en-GB" sz="1100" baseline="0"/>
            <a:t> calculator from the tabs below</a:t>
          </a:r>
        </a:p>
        <a:p>
          <a:endParaRPr lang="en-GB" sz="1100" baseline="0"/>
        </a:p>
        <a:p>
          <a:r>
            <a:rPr lang="en-GB" sz="1100" baseline="0"/>
            <a:t>Cells with a green border are those that should be filled in.</a:t>
          </a:r>
        </a:p>
        <a:p>
          <a:endParaRPr lang="en-GB" sz="1100" baseline="0"/>
        </a:p>
        <a:p>
          <a:r>
            <a:rPr lang="en-GB" sz="1100" baseline="0"/>
            <a:t>Cells with a red border are boundary limits such as a mounting height range, or a min and max limit, for example wide opening separation or distance from door.</a:t>
          </a:r>
        </a:p>
        <a:p>
          <a:endParaRPr lang="en-GB" sz="1100" baseline="0"/>
        </a:p>
        <a:p>
          <a:r>
            <a:rPr lang="en-GB" sz="1100" baseline="0"/>
            <a:t>Cells with black borders are results/optimum positions.</a:t>
          </a:r>
        </a:p>
        <a:p>
          <a:endParaRPr lang="en-GB" sz="1100" baseline="0"/>
        </a:p>
        <a:p>
          <a:r>
            <a:rPr lang="en-GB" sz="1100" baseline="0"/>
            <a:t>Each tab also has a notes field with further relevant information provided.</a:t>
          </a:r>
        </a:p>
        <a:p>
          <a:endParaRPr lang="en-GB" sz="1100" baseline="0"/>
        </a:p>
        <a:p>
          <a:endParaRPr lang="en-GB" sz="1100" baseline="0"/>
        </a:p>
        <a:p>
          <a:r>
            <a:rPr lang="en-GB" sz="1100" baseline="0"/>
            <a:t>This is a Beta calculator - please </a:t>
          </a:r>
          <a:r>
            <a:rPr lang="en-GB" sz="1100" u="sng" baseline="0"/>
            <a:t>double check all calculations and information </a:t>
          </a:r>
          <a:r>
            <a:rPr lang="en-GB" sz="1100" baseline="0"/>
            <a:t>before specifying/ordering units.</a:t>
          </a:r>
        </a:p>
        <a:p>
          <a:endParaRPr lang="en-GB" sz="1100" baseline="0"/>
        </a:p>
        <a:p>
          <a:r>
            <a:rPr lang="en-GB" sz="1100" baseline="0"/>
            <a:t>Send any feedback to counting.support@irisys.co.uk</a:t>
          </a:r>
        </a:p>
        <a:p>
          <a:endParaRPr lang="en-GB" sz="1100" baseline="0"/>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30480</xdr:colOff>
      <xdr:row>1</xdr:row>
      <xdr:rowOff>137160</xdr:rowOff>
    </xdr:from>
    <xdr:to>
      <xdr:col>36</xdr:col>
      <xdr:colOff>148080</xdr:colOff>
      <xdr:row>15</xdr:row>
      <xdr:rowOff>117600</xdr:rowOff>
    </xdr:to>
    <xdr:sp macro="" textlink="">
      <xdr:nvSpPr>
        <xdr:cNvPr id="2" name="TextBox 1"/>
        <xdr:cNvSpPr txBox="1"/>
      </xdr:nvSpPr>
      <xdr:spPr>
        <a:xfrm>
          <a:off x="4678680" y="320040"/>
          <a:ext cx="2556000" cy="2556000"/>
        </a:xfrm>
        <a:prstGeom prst="rect">
          <a:avLst/>
        </a:prstGeom>
        <a:solidFill>
          <a:srgbClr val="FFFFB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GB" sz="1000">
            <a:latin typeface="Comic Sans MS" panose="030F0702030302020204" pitchFamily="66" charset="0"/>
          </a:endParaRPr>
        </a:p>
        <a:p>
          <a:pPr algn="ctr"/>
          <a:r>
            <a:rPr lang="en-GB" sz="1000">
              <a:latin typeface="Comic Sans MS" panose="030F0702030302020204" pitchFamily="66" charset="0"/>
            </a:rPr>
            <a:t>The best place</a:t>
          </a:r>
          <a:r>
            <a:rPr lang="en-GB" sz="1000" baseline="0">
              <a:latin typeface="Comic Sans MS" panose="030F0702030302020204" pitchFamily="66" charset="0"/>
            </a:rPr>
            <a:t> to install the counter is "</a:t>
          </a:r>
          <a:r>
            <a:rPr lang="en-GB" sz="1000" b="1" i="0">
              <a:solidFill>
                <a:schemeClr val="dk1"/>
              </a:solidFill>
              <a:effectLst/>
              <a:latin typeface="Comic Sans MS" panose="030F0702030302020204" pitchFamily="66" charset="0"/>
              <a:ea typeface="+mn-ea"/>
              <a:cs typeface="+mn-cs"/>
            </a:rPr>
            <a:t>above the desired count line position or 1m (3ft) from the door</a:t>
          </a:r>
          <a:r>
            <a:rPr lang="en-GB" sz="1000" b="1" i="0" baseline="0">
              <a:solidFill>
                <a:schemeClr val="dk1"/>
              </a:solidFill>
              <a:effectLst/>
              <a:latin typeface="Comic Sans MS" panose="030F0702030302020204" pitchFamily="66" charset="0"/>
              <a:ea typeface="+mn-ea"/>
              <a:cs typeface="+mn-cs"/>
            </a:rPr>
            <a:t> -</a:t>
          </a:r>
          <a:r>
            <a:rPr lang="en-GB" sz="1000" b="1" i="0">
              <a:solidFill>
                <a:schemeClr val="dk1"/>
              </a:solidFill>
              <a:effectLst/>
              <a:latin typeface="Comic Sans MS" panose="030F0702030302020204" pitchFamily="66" charset="0"/>
              <a:ea typeface="+mn-ea"/>
              <a:cs typeface="+mn-cs"/>
            </a:rPr>
            <a:t> whichever is larger". </a:t>
          </a:r>
          <a:endParaRPr lang="en-GB" sz="1000" i="0" baseline="0">
            <a:latin typeface="Comic Sans MS" panose="030F0702030302020204" pitchFamily="66" charset="0"/>
          </a:endParaRPr>
        </a:p>
        <a:p>
          <a:pPr algn="ctr"/>
          <a:endParaRPr lang="en-GB" sz="1000" baseline="0">
            <a:latin typeface="Comic Sans MS" panose="030F0702030302020204" pitchFamily="66" charset="0"/>
          </a:endParaRPr>
        </a:p>
        <a:p>
          <a:pPr algn="ctr"/>
          <a:r>
            <a:rPr lang="en-GB" sz="1000" baseline="0">
              <a:latin typeface="Comic Sans MS" panose="030F0702030302020204" pitchFamily="66" charset="0"/>
            </a:rPr>
            <a:t>Therefore always make sure that the couner is at least 1m from the door, but think about where the lines will need to be positioned when you come to configure the counter - then install the counter directly above the centre point of where the line will be.</a:t>
          </a:r>
        </a:p>
        <a:p>
          <a:pPr algn="ctr"/>
          <a:endParaRPr lang="en-GB" sz="1000" baseline="0">
            <a:latin typeface="Comic Sans MS" panose="030F0702030302020204" pitchFamily="66"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36"/>
  <sheetViews>
    <sheetView tabSelected="1" workbookViewId="0">
      <selection activeCell="N8" sqref="N8"/>
    </sheetView>
  </sheetViews>
  <sheetFormatPr defaultRowHeight="14.4" x14ac:dyDescent="0.3"/>
  <sheetData>
    <row r="1" spans="1:23" x14ac:dyDescent="0.3">
      <c r="A1" s="1"/>
      <c r="B1" s="1"/>
      <c r="C1" s="1"/>
      <c r="D1" s="1"/>
      <c r="E1" s="1"/>
      <c r="F1" s="1"/>
      <c r="G1" s="1"/>
      <c r="H1" s="1"/>
      <c r="I1" s="1"/>
      <c r="J1" s="1"/>
      <c r="K1" s="1"/>
      <c r="L1" s="1"/>
      <c r="M1" s="1"/>
      <c r="N1" s="1"/>
      <c r="O1" s="1"/>
      <c r="P1" s="1"/>
      <c r="Q1" s="1"/>
      <c r="R1" s="1"/>
      <c r="S1" s="1"/>
      <c r="T1" s="1"/>
      <c r="U1" s="1"/>
      <c r="V1" s="1"/>
      <c r="W1" s="1"/>
    </row>
    <row r="2" spans="1:23" x14ac:dyDescent="0.3">
      <c r="A2" s="1"/>
      <c r="B2" s="1"/>
      <c r="C2" s="1"/>
      <c r="D2" s="1"/>
      <c r="E2" s="1"/>
      <c r="F2" s="1"/>
      <c r="G2" s="1"/>
      <c r="H2" s="1"/>
      <c r="I2" s="1"/>
      <c r="J2" s="1"/>
      <c r="K2" s="1"/>
      <c r="L2" s="1"/>
      <c r="M2" s="1"/>
      <c r="N2" s="1"/>
      <c r="O2" s="1"/>
      <c r="P2" s="1"/>
      <c r="Q2" s="1"/>
      <c r="R2" s="1"/>
      <c r="S2" s="1"/>
      <c r="T2" s="1"/>
      <c r="U2" s="1"/>
      <c r="V2" s="1"/>
      <c r="W2" s="1"/>
    </row>
    <row r="3" spans="1:23" x14ac:dyDescent="0.3">
      <c r="A3" s="1"/>
      <c r="B3" s="1" t="s">
        <v>30</v>
      </c>
      <c r="C3" s="1"/>
      <c r="D3" s="1"/>
      <c r="E3" s="1"/>
      <c r="F3" s="1"/>
      <c r="G3" s="1"/>
      <c r="H3" s="1"/>
      <c r="I3" s="1"/>
      <c r="J3" s="1"/>
      <c r="K3" s="1"/>
      <c r="L3" s="1"/>
      <c r="M3" s="1"/>
      <c r="N3" s="1"/>
      <c r="O3" s="1"/>
      <c r="P3" s="1"/>
      <c r="Q3" s="1"/>
      <c r="R3" s="1"/>
      <c r="S3" s="1"/>
      <c r="T3" s="1"/>
      <c r="U3" s="1"/>
      <c r="V3" s="1"/>
      <c r="W3" s="1"/>
    </row>
    <row r="4" spans="1:23" x14ac:dyDescent="0.3">
      <c r="A4" s="1"/>
      <c r="B4" s="1"/>
      <c r="C4" s="1"/>
      <c r="D4" s="1"/>
      <c r="E4" s="1"/>
      <c r="F4" s="1"/>
      <c r="G4" s="1"/>
      <c r="H4" s="1"/>
      <c r="I4" s="1"/>
      <c r="J4" s="1"/>
      <c r="K4" s="1"/>
      <c r="L4" s="1"/>
      <c r="M4" s="1"/>
      <c r="N4" s="1"/>
      <c r="O4" s="1"/>
      <c r="P4" s="1"/>
      <c r="Q4" s="1"/>
      <c r="R4" s="1"/>
      <c r="S4" s="1"/>
      <c r="T4" s="1"/>
      <c r="U4" s="1"/>
      <c r="V4" s="1"/>
      <c r="W4" s="1"/>
    </row>
    <row r="5" spans="1:23" x14ac:dyDescent="0.3">
      <c r="A5" s="1"/>
      <c r="B5" s="1"/>
      <c r="C5" s="1"/>
      <c r="D5" s="1"/>
      <c r="E5" s="1"/>
      <c r="F5" s="1"/>
      <c r="G5" s="1"/>
      <c r="H5" s="1"/>
      <c r="I5" s="1"/>
      <c r="J5" s="1"/>
      <c r="K5" s="1"/>
      <c r="L5" s="1"/>
      <c r="M5" s="1"/>
      <c r="N5" s="1"/>
      <c r="O5" s="1"/>
      <c r="P5" s="1"/>
      <c r="Q5" s="1"/>
      <c r="R5" s="1"/>
      <c r="S5" s="1"/>
      <c r="T5" s="1"/>
      <c r="U5" s="1"/>
      <c r="V5" s="1"/>
      <c r="W5" s="1"/>
    </row>
    <row r="6" spans="1:23" x14ac:dyDescent="0.3">
      <c r="A6" s="1"/>
      <c r="B6" s="1"/>
      <c r="C6" s="1"/>
      <c r="D6" s="1"/>
      <c r="E6" s="1"/>
      <c r="F6" s="1"/>
      <c r="G6" s="1"/>
      <c r="H6" s="1"/>
      <c r="I6" s="1"/>
      <c r="J6" s="1"/>
      <c r="K6" s="1"/>
      <c r="L6" s="1"/>
      <c r="M6" s="1"/>
      <c r="N6" s="1"/>
      <c r="O6" s="1"/>
      <c r="P6" s="1"/>
      <c r="Q6" s="1"/>
      <c r="R6" s="1"/>
      <c r="S6" s="1"/>
      <c r="T6" s="1"/>
      <c r="U6" s="1"/>
      <c r="V6" s="1"/>
      <c r="W6" s="1"/>
    </row>
    <row r="7" spans="1:23" x14ac:dyDescent="0.3">
      <c r="A7" s="1"/>
      <c r="B7" s="1"/>
      <c r="C7" s="1"/>
      <c r="D7" s="1"/>
      <c r="E7" s="1"/>
      <c r="F7" s="1"/>
      <c r="G7" s="1"/>
      <c r="H7" s="1"/>
      <c r="I7" s="1"/>
      <c r="J7" s="1"/>
      <c r="K7" s="1"/>
      <c r="L7" s="1"/>
      <c r="M7" s="1"/>
      <c r="N7" s="1"/>
      <c r="O7" s="1"/>
      <c r="P7" s="1"/>
      <c r="Q7" s="1"/>
      <c r="R7" s="1"/>
      <c r="S7" s="1"/>
      <c r="T7" s="1"/>
      <c r="U7" s="1"/>
      <c r="V7" s="1"/>
      <c r="W7" s="1"/>
    </row>
    <row r="8" spans="1:23" x14ac:dyDescent="0.3">
      <c r="A8" s="1"/>
      <c r="B8" s="1"/>
      <c r="C8" s="1"/>
      <c r="D8" s="1"/>
      <c r="E8" s="1"/>
      <c r="F8" s="1"/>
      <c r="G8" s="1"/>
      <c r="H8" s="1"/>
      <c r="I8" s="1"/>
      <c r="J8" s="1"/>
      <c r="K8" s="1"/>
      <c r="L8" s="1"/>
      <c r="M8" s="1"/>
      <c r="N8" s="1"/>
      <c r="O8" s="1"/>
      <c r="P8" s="1"/>
      <c r="Q8" s="1"/>
      <c r="R8" s="1"/>
      <c r="S8" s="1"/>
      <c r="T8" s="1"/>
      <c r="U8" s="1"/>
      <c r="V8" s="1"/>
      <c r="W8" s="1"/>
    </row>
    <row r="9" spans="1:23" x14ac:dyDescent="0.3">
      <c r="A9" s="1"/>
      <c r="B9" s="1"/>
      <c r="C9" s="1"/>
      <c r="D9" s="1"/>
      <c r="E9" s="1"/>
      <c r="F9" s="1"/>
      <c r="G9" s="1"/>
      <c r="H9" s="1"/>
      <c r="I9" s="1"/>
      <c r="J9" s="1"/>
      <c r="K9" s="1"/>
      <c r="L9" s="1"/>
      <c r="M9" s="1"/>
      <c r="N9" s="1"/>
      <c r="O9" s="1"/>
      <c r="P9" s="1"/>
      <c r="Q9" s="1"/>
      <c r="R9" s="1"/>
      <c r="S9" s="1"/>
      <c r="T9" s="1"/>
      <c r="U9" s="1"/>
      <c r="V9" s="1"/>
      <c r="W9" s="1"/>
    </row>
    <row r="10" spans="1:23" x14ac:dyDescent="0.3">
      <c r="A10" s="1"/>
      <c r="B10" s="1"/>
      <c r="C10" s="1"/>
      <c r="D10" s="1"/>
      <c r="E10" s="1"/>
      <c r="F10" s="1"/>
      <c r="G10" s="1"/>
      <c r="H10" s="1"/>
      <c r="I10" s="1"/>
      <c r="J10" s="1"/>
      <c r="K10" s="1"/>
      <c r="L10" s="1"/>
      <c r="M10" s="1"/>
      <c r="N10" s="1"/>
      <c r="O10" s="1"/>
      <c r="P10" s="1"/>
      <c r="Q10" s="1"/>
      <c r="R10" s="1"/>
      <c r="S10" s="1"/>
      <c r="T10" s="1"/>
      <c r="U10" s="1"/>
      <c r="V10" s="1"/>
      <c r="W10" s="1"/>
    </row>
    <row r="11" spans="1:23" x14ac:dyDescent="0.3">
      <c r="A11" s="1"/>
      <c r="B11" s="1"/>
      <c r="C11" s="1"/>
      <c r="D11" s="1"/>
      <c r="E11" s="1"/>
      <c r="F11" s="1"/>
      <c r="G11" s="1"/>
      <c r="H11" s="1"/>
      <c r="I11" s="1"/>
      <c r="J11" s="1"/>
      <c r="K11" s="1"/>
      <c r="L11" s="1"/>
      <c r="M11" s="1"/>
      <c r="N11" s="1"/>
      <c r="O11" s="1"/>
      <c r="P11" s="1"/>
      <c r="Q11" s="1"/>
      <c r="R11" s="1"/>
      <c r="S11" s="1"/>
      <c r="T11" s="1"/>
      <c r="U11" s="1"/>
      <c r="V11" s="1"/>
      <c r="W11" s="1"/>
    </row>
    <row r="12" spans="1:23" x14ac:dyDescent="0.3">
      <c r="A12" s="1"/>
      <c r="B12" s="1"/>
      <c r="C12" s="1"/>
      <c r="D12" s="1"/>
      <c r="E12" s="1"/>
      <c r="F12" s="1"/>
      <c r="G12" s="1"/>
      <c r="H12" s="1"/>
      <c r="I12" s="1"/>
      <c r="J12" s="1"/>
      <c r="K12" s="1"/>
      <c r="L12" s="1"/>
      <c r="M12" s="1"/>
      <c r="N12" s="1"/>
      <c r="O12" s="1"/>
      <c r="P12" s="1"/>
      <c r="Q12" s="1"/>
      <c r="R12" s="1"/>
      <c r="S12" s="1"/>
      <c r="T12" s="1"/>
      <c r="U12" s="1"/>
      <c r="V12" s="1"/>
      <c r="W12" s="1"/>
    </row>
    <row r="13" spans="1:23" x14ac:dyDescent="0.3">
      <c r="A13" s="1"/>
      <c r="B13" s="1"/>
      <c r="C13" s="1"/>
      <c r="D13" s="1"/>
      <c r="E13" s="1"/>
      <c r="F13" s="1"/>
      <c r="G13" s="1"/>
      <c r="H13" s="1"/>
      <c r="I13" s="1"/>
      <c r="J13" s="1"/>
      <c r="K13" s="1"/>
      <c r="L13" s="1"/>
      <c r="M13" s="1"/>
      <c r="N13" s="1"/>
      <c r="O13" s="1"/>
      <c r="P13" s="1"/>
      <c r="Q13" s="1"/>
      <c r="R13" s="1"/>
      <c r="S13" s="1"/>
      <c r="T13" s="1"/>
      <c r="U13" s="1"/>
      <c r="V13" s="1"/>
      <c r="W13" s="1"/>
    </row>
    <row r="14" spans="1:23" x14ac:dyDescent="0.3">
      <c r="A14" s="1"/>
      <c r="B14" s="1"/>
      <c r="C14" s="1"/>
      <c r="D14" s="1"/>
      <c r="E14" s="1"/>
      <c r="F14" s="1"/>
      <c r="G14" s="1"/>
      <c r="H14" s="1"/>
      <c r="I14" s="1"/>
      <c r="J14" s="1"/>
      <c r="K14" s="1"/>
      <c r="L14" s="1"/>
      <c r="M14" s="1"/>
      <c r="N14" s="1"/>
      <c r="O14" s="1"/>
      <c r="P14" s="1"/>
      <c r="Q14" s="1"/>
      <c r="R14" s="1"/>
      <c r="S14" s="1"/>
      <c r="T14" s="1"/>
      <c r="U14" s="1"/>
      <c r="V14" s="1"/>
      <c r="W14" s="1"/>
    </row>
    <row r="15" spans="1:23" x14ac:dyDescent="0.3">
      <c r="A15" s="1"/>
      <c r="B15" s="1"/>
      <c r="C15" s="1"/>
      <c r="D15" s="1"/>
      <c r="E15" s="1"/>
      <c r="F15" s="1"/>
      <c r="G15" s="1"/>
      <c r="H15" s="1"/>
      <c r="I15" s="1"/>
      <c r="J15" s="1"/>
      <c r="K15" s="1"/>
      <c r="L15" s="1"/>
      <c r="M15" s="1"/>
      <c r="N15" s="1"/>
      <c r="O15" s="1"/>
      <c r="P15" s="1"/>
      <c r="Q15" s="1"/>
      <c r="R15" s="1"/>
      <c r="S15" s="1"/>
      <c r="T15" s="1"/>
      <c r="U15" s="1"/>
      <c r="V15" s="1"/>
      <c r="W15" s="1"/>
    </row>
    <row r="16" spans="1:23" x14ac:dyDescent="0.3">
      <c r="A16" s="1"/>
      <c r="B16" s="1"/>
      <c r="C16" s="1"/>
      <c r="D16" s="1"/>
      <c r="E16" s="1"/>
      <c r="F16" s="1"/>
      <c r="G16" s="1"/>
      <c r="H16" s="1"/>
      <c r="I16" s="1"/>
      <c r="J16" s="1"/>
      <c r="K16" s="1"/>
      <c r="L16" s="1"/>
      <c r="M16" s="1"/>
      <c r="N16" s="1"/>
      <c r="O16" s="1"/>
      <c r="P16" s="1"/>
      <c r="Q16" s="1"/>
      <c r="R16" s="1"/>
      <c r="S16" s="1"/>
      <c r="T16" s="1"/>
      <c r="U16" s="1"/>
      <c r="V16" s="1"/>
      <c r="W16" s="1"/>
    </row>
    <row r="17" spans="1:23" x14ac:dyDescent="0.3">
      <c r="A17" s="1"/>
      <c r="B17" s="1"/>
      <c r="C17" s="1"/>
      <c r="D17" s="1"/>
      <c r="E17" s="1"/>
      <c r="F17" s="1"/>
      <c r="G17" s="1"/>
      <c r="H17" s="1"/>
      <c r="I17" s="1"/>
      <c r="J17" s="1"/>
      <c r="K17" s="1"/>
      <c r="L17" s="1"/>
      <c r="M17" s="1"/>
      <c r="N17" s="1"/>
      <c r="O17" s="1"/>
      <c r="P17" s="1"/>
      <c r="Q17" s="1"/>
      <c r="R17" s="1"/>
      <c r="S17" s="1"/>
      <c r="T17" s="1"/>
      <c r="U17" s="1"/>
      <c r="V17" s="1"/>
      <c r="W17" s="1"/>
    </row>
    <row r="18" spans="1:23" x14ac:dyDescent="0.3">
      <c r="A18" s="1"/>
      <c r="B18" s="1"/>
      <c r="C18" s="1"/>
      <c r="D18" s="1"/>
      <c r="E18" s="1"/>
      <c r="F18" s="1"/>
      <c r="G18" s="1"/>
      <c r="H18" s="1"/>
      <c r="I18" s="1"/>
      <c r="J18" s="1"/>
      <c r="K18" s="1"/>
      <c r="L18" s="1"/>
      <c r="M18" s="1"/>
      <c r="N18" s="1"/>
      <c r="O18" s="1"/>
      <c r="P18" s="1"/>
      <c r="Q18" s="1"/>
      <c r="R18" s="1"/>
      <c r="S18" s="1"/>
      <c r="T18" s="1"/>
      <c r="U18" s="1"/>
      <c r="V18" s="1"/>
      <c r="W18" s="1"/>
    </row>
    <row r="19" spans="1:23" x14ac:dyDescent="0.3">
      <c r="A19" s="1"/>
      <c r="B19" s="1"/>
      <c r="C19" s="1"/>
      <c r="D19" s="1"/>
      <c r="E19" s="1"/>
      <c r="F19" s="1"/>
      <c r="G19" s="1"/>
      <c r="H19" s="1"/>
      <c r="I19" s="1"/>
      <c r="J19" s="1"/>
      <c r="K19" s="1"/>
      <c r="L19" s="1"/>
      <c r="M19" s="1"/>
      <c r="N19" s="1"/>
      <c r="O19" s="1"/>
      <c r="P19" s="1"/>
      <c r="Q19" s="1"/>
      <c r="R19" s="1"/>
      <c r="S19" s="1"/>
      <c r="T19" s="1"/>
      <c r="U19" s="1"/>
      <c r="V19" s="1"/>
      <c r="W19" s="1"/>
    </row>
    <row r="20" spans="1:23" x14ac:dyDescent="0.3">
      <c r="A20" s="1"/>
      <c r="B20" s="1"/>
      <c r="C20" s="1"/>
      <c r="D20" s="1"/>
      <c r="E20" s="1"/>
      <c r="F20" s="1"/>
      <c r="G20" s="1"/>
      <c r="H20" s="1"/>
      <c r="I20" s="1"/>
      <c r="J20" s="1"/>
      <c r="K20" s="1"/>
      <c r="L20" s="1"/>
      <c r="M20" s="1"/>
      <c r="N20" s="1"/>
      <c r="O20" s="1"/>
      <c r="P20" s="1"/>
      <c r="Q20" s="1"/>
      <c r="R20" s="1"/>
      <c r="S20" s="1"/>
      <c r="T20" s="1"/>
      <c r="U20" s="1"/>
      <c r="V20" s="1"/>
      <c r="W20" s="1"/>
    </row>
    <row r="21" spans="1:23" x14ac:dyDescent="0.3">
      <c r="A21" s="1"/>
      <c r="B21" s="1"/>
      <c r="C21" s="1"/>
      <c r="D21" s="1"/>
      <c r="E21" s="1"/>
      <c r="F21" s="1"/>
      <c r="G21" s="1"/>
      <c r="H21" s="1"/>
      <c r="I21" s="1"/>
      <c r="J21" s="1"/>
      <c r="K21" s="1"/>
      <c r="L21" s="1"/>
      <c r="M21" s="1"/>
      <c r="N21" s="1"/>
      <c r="O21" s="1"/>
      <c r="P21" s="1"/>
      <c r="Q21" s="1"/>
      <c r="R21" s="1"/>
      <c r="S21" s="1"/>
      <c r="T21" s="1"/>
      <c r="U21" s="1"/>
      <c r="V21" s="1"/>
      <c r="W21" s="1"/>
    </row>
    <row r="22" spans="1:23" x14ac:dyDescent="0.3">
      <c r="A22" s="1"/>
      <c r="B22" s="1"/>
      <c r="C22" s="1"/>
      <c r="D22" s="1"/>
      <c r="E22" s="1"/>
      <c r="F22" s="1"/>
      <c r="G22" s="1"/>
      <c r="H22" s="1"/>
      <c r="I22" s="1"/>
      <c r="J22" s="1"/>
      <c r="K22" s="1"/>
      <c r="L22" s="1"/>
      <c r="M22" s="1"/>
      <c r="N22" s="1"/>
      <c r="O22" s="1"/>
      <c r="P22" s="1"/>
      <c r="Q22" s="1"/>
      <c r="R22" s="1"/>
      <c r="S22" s="1"/>
      <c r="T22" s="1"/>
      <c r="U22" s="1"/>
      <c r="V22" s="1"/>
      <c r="W22" s="1"/>
    </row>
    <row r="23" spans="1:23" x14ac:dyDescent="0.3">
      <c r="A23" s="1"/>
      <c r="B23" s="1"/>
      <c r="C23" s="1"/>
      <c r="D23" s="1"/>
      <c r="E23" s="1"/>
      <c r="F23" s="1"/>
      <c r="G23" s="1"/>
      <c r="H23" s="1"/>
      <c r="I23" s="1"/>
      <c r="J23" s="1"/>
      <c r="K23" s="1"/>
      <c r="L23" s="1"/>
      <c r="M23" s="1"/>
      <c r="N23" s="1"/>
      <c r="O23" s="1"/>
      <c r="P23" s="1"/>
      <c r="Q23" s="1"/>
      <c r="R23" s="1"/>
      <c r="S23" s="1"/>
      <c r="T23" s="1"/>
      <c r="U23" s="1"/>
      <c r="V23" s="1"/>
      <c r="W23" s="1"/>
    </row>
    <row r="24" spans="1:23" x14ac:dyDescent="0.3">
      <c r="A24" s="1"/>
      <c r="B24" s="1"/>
      <c r="C24" s="1"/>
      <c r="D24" s="1"/>
      <c r="E24" s="1"/>
      <c r="F24" s="1"/>
      <c r="G24" s="1"/>
      <c r="H24" s="1"/>
      <c r="I24" s="1"/>
      <c r="J24" s="1"/>
      <c r="K24" s="1"/>
      <c r="L24" s="1"/>
      <c r="M24" s="1"/>
      <c r="N24" s="1"/>
      <c r="O24" s="1"/>
      <c r="P24" s="1"/>
      <c r="Q24" s="1"/>
      <c r="R24" s="1"/>
      <c r="S24" s="1"/>
      <c r="T24" s="1"/>
      <c r="U24" s="1"/>
      <c r="V24" s="1"/>
      <c r="W24" s="1"/>
    </row>
    <row r="25" spans="1:23" x14ac:dyDescent="0.3">
      <c r="A25" s="1"/>
      <c r="B25" s="1"/>
      <c r="C25" s="1"/>
      <c r="D25" s="1"/>
      <c r="E25" s="1"/>
      <c r="F25" s="1"/>
      <c r="G25" s="1"/>
      <c r="H25" s="1"/>
      <c r="I25" s="1"/>
      <c r="J25" s="1"/>
      <c r="K25" s="1"/>
      <c r="L25" s="1"/>
      <c r="M25" s="1"/>
      <c r="N25" s="1"/>
      <c r="O25" s="1"/>
      <c r="P25" s="1"/>
      <c r="Q25" s="1"/>
      <c r="R25" s="1"/>
      <c r="S25" s="1"/>
      <c r="T25" s="1"/>
      <c r="U25" s="1"/>
      <c r="V25" s="1"/>
      <c r="W25" s="1"/>
    </row>
    <row r="26" spans="1:23" x14ac:dyDescent="0.3">
      <c r="A26" s="1"/>
      <c r="B26" s="1"/>
      <c r="C26" s="1"/>
      <c r="D26" s="1"/>
      <c r="E26" s="1"/>
      <c r="F26" s="1"/>
      <c r="G26" s="1"/>
      <c r="H26" s="1"/>
      <c r="I26" s="1"/>
      <c r="J26" s="1"/>
      <c r="K26" s="1"/>
      <c r="L26" s="1"/>
      <c r="M26" s="1"/>
      <c r="N26" s="1"/>
      <c r="O26" s="1"/>
      <c r="P26" s="1"/>
      <c r="Q26" s="1"/>
      <c r="R26" s="1"/>
      <c r="S26" s="1"/>
      <c r="T26" s="1"/>
      <c r="U26" s="1"/>
      <c r="V26" s="1"/>
      <c r="W26" s="1"/>
    </row>
    <row r="27" spans="1:23" x14ac:dyDescent="0.3">
      <c r="A27" s="1"/>
      <c r="B27" s="1"/>
      <c r="C27" s="1"/>
      <c r="D27" s="1"/>
      <c r="E27" s="1"/>
      <c r="F27" s="1"/>
      <c r="G27" s="1"/>
      <c r="H27" s="1"/>
      <c r="I27" s="1"/>
      <c r="J27" s="1"/>
      <c r="K27" s="1"/>
      <c r="L27" s="1"/>
      <c r="M27" s="1"/>
      <c r="N27" s="1"/>
      <c r="O27" s="1"/>
      <c r="P27" s="1"/>
      <c r="Q27" s="1"/>
      <c r="R27" s="1"/>
      <c r="S27" s="1"/>
      <c r="T27" s="1"/>
      <c r="U27" s="1"/>
      <c r="V27" s="1"/>
      <c r="W27" s="1"/>
    </row>
    <row r="28" spans="1:23" x14ac:dyDescent="0.3">
      <c r="A28" s="1"/>
      <c r="B28" s="1"/>
      <c r="C28" s="1"/>
      <c r="D28" s="1"/>
      <c r="E28" s="1"/>
      <c r="F28" s="1"/>
      <c r="G28" s="1"/>
      <c r="H28" s="1"/>
      <c r="I28" s="1"/>
      <c r="J28" s="1"/>
      <c r="K28" s="1"/>
      <c r="L28" s="1"/>
      <c r="M28" s="1"/>
      <c r="N28" s="1"/>
      <c r="O28" s="1"/>
      <c r="P28" s="1"/>
      <c r="Q28" s="1"/>
      <c r="R28" s="1"/>
      <c r="S28" s="1"/>
      <c r="T28" s="1"/>
      <c r="U28" s="1"/>
      <c r="V28" s="1"/>
      <c r="W28" s="1"/>
    </row>
    <row r="29" spans="1:23" x14ac:dyDescent="0.3">
      <c r="A29" s="1"/>
      <c r="B29" s="1"/>
      <c r="C29" s="1"/>
      <c r="D29" s="1"/>
      <c r="E29" s="1"/>
      <c r="F29" s="1"/>
      <c r="G29" s="1"/>
      <c r="H29" s="1"/>
      <c r="I29" s="1"/>
      <c r="J29" s="1"/>
      <c r="K29" s="1"/>
      <c r="L29" s="1"/>
      <c r="M29" s="1"/>
      <c r="N29" s="1"/>
      <c r="O29" s="1"/>
      <c r="P29" s="1"/>
      <c r="Q29" s="1"/>
      <c r="R29" s="1"/>
      <c r="S29" s="1"/>
      <c r="T29" s="1"/>
      <c r="U29" s="1"/>
      <c r="V29" s="1"/>
      <c r="W29" s="1"/>
    </row>
    <row r="30" spans="1:23" x14ac:dyDescent="0.3">
      <c r="A30" s="1"/>
      <c r="B30" s="1"/>
      <c r="C30" s="1"/>
      <c r="D30" s="1"/>
      <c r="E30" s="1"/>
      <c r="F30" s="1"/>
      <c r="G30" s="1"/>
      <c r="H30" s="1"/>
      <c r="I30" s="1"/>
      <c r="J30" s="1"/>
      <c r="K30" s="1"/>
      <c r="L30" s="1"/>
      <c r="M30" s="1"/>
      <c r="N30" s="1"/>
      <c r="O30" s="1"/>
      <c r="P30" s="1"/>
      <c r="Q30" s="1"/>
      <c r="R30" s="1"/>
      <c r="S30" s="1"/>
      <c r="T30" s="1"/>
      <c r="U30" s="1"/>
      <c r="V30" s="1"/>
      <c r="W30" s="1"/>
    </row>
    <row r="31" spans="1:23" x14ac:dyDescent="0.3">
      <c r="A31" s="1"/>
      <c r="B31" s="1"/>
      <c r="C31" s="1"/>
      <c r="D31" s="1"/>
      <c r="E31" s="1"/>
      <c r="F31" s="1"/>
      <c r="G31" s="1"/>
      <c r="H31" s="1"/>
      <c r="I31" s="1"/>
      <c r="J31" s="1"/>
      <c r="K31" s="1"/>
      <c r="L31" s="1"/>
      <c r="M31" s="1"/>
      <c r="N31" s="1"/>
      <c r="O31" s="1"/>
      <c r="P31" s="1"/>
      <c r="Q31" s="1"/>
      <c r="R31" s="1"/>
      <c r="S31" s="1"/>
      <c r="T31" s="1"/>
      <c r="U31" s="1"/>
      <c r="V31" s="1"/>
      <c r="W31" s="1"/>
    </row>
    <row r="32" spans="1:23" x14ac:dyDescent="0.3">
      <c r="A32" s="1"/>
      <c r="B32" s="1"/>
      <c r="C32" s="1"/>
      <c r="D32" s="1"/>
      <c r="E32" s="1"/>
      <c r="F32" s="1"/>
      <c r="G32" s="1"/>
      <c r="H32" s="1"/>
      <c r="I32" s="1"/>
      <c r="J32" s="1"/>
      <c r="K32" s="1"/>
      <c r="L32" s="1"/>
      <c r="M32" s="1"/>
      <c r="N32" s="1"/>
      <c r="O32" s="1"/>
      <c r="P32" s="1"/>
      <c r="Q32" s="1"/>
      <c r="R32" s="1"/>
      <c r="S32" s="1"/>
      <c r="T32" s="1"/>
      <c r="U32" s="1"/>
      <c r="V32" s="1"/>
      <c r="W32" s="1"/>
    </row>
    <row r="33" spans="1:23" x14ac:dyDescent="0.3">
      <c r="A33" s="1"/>
      <c r="B33" s="1"/>
      <c r="C33" s="1"/>
      <c r="D33" s="1"/>
      <c r="E33" s="1"/>
      <c r="F33" s="1"/>
      <c r="G33" s="1"/>
      <c r="H33" s="1"/>
      <c r="I33" s="1"/>
      <c r="J33" s="1"/>
      <c r="K33" s="1"/>
      <c r="L33" s="1"/>
      <c r="M33" s="1"/>
      <c r="N33" s="1"/>
      <c r="O33" s="1"/>
      <c r="P33" s="1"/>
      <c r="Q33" s="1"/>
      <c r="R33" s="1"/>
      <c r="S33" s="1"/>
      <c r="T33" s="1"/>
      <c r="U33" s="1"/>
      <c r="V33" s="1"/>
      <c r="W33" s="1"/>
    </row>
    <row r="34" spans="1:23" x14ac:dyDescent="0.3">
      <c r="A34" s="1"/>
      <c r="B34" s="1"/>
      <c r="C34" s="1"/>
      <c r="D34" s="1"/>
      <c r="E34" s="1"/>
      <c r="F34" s="1"/>
      <c r="G34" s="1"/>
      <c r="H34" s="1"/>
      <c r="I34" s="1"/>
      <c r="J34" s="1"/>
      <c r="K34" s="1"/>
      <c r="L34" s="1"/>
      <c r="M34" s="1"/>
      <c r="N34" s="1"/>
      <c r="O34" s="1"/>
      <c r="P34" s="1"/>
      <c r="Q34" s="1"/>
      <c r="R34" s="1"/>
      <c r="S34" s="1"/>
      <c r="T34" s="1"/>
      <c r="U34" s="1"/>
      <c r="V34" s="1"/>
      <c r="W34" s="1"/>
    </row>
    <row r="35" spans="1:23" x14ac:dyDescent="0.3">
      <c r="A35" s="1"/>
      <c r="B35" s="1"/>
      <c r="C35" s="1"/>
      <c r="D35" s="1"/>
      <c r="E35" s="1"/>
      <c r="F35" s="1"/>
      <c r="G35" s="1"/>
      <c r="H35" s="1"/>
      <c r="I35" s="1"/>
      <c r="J35" s="1"/>
      <c r="K35" s="1"/>
      <c r="L35" s="1"/>
      <c r="M35" s="1"/>
      <c r="N35" s="1"/>
      <c r="O35" s="1"/>
      <c r="P35" s="1"/>
      <c r="Q35" s="1"/>
      <c r="R35" s="1"/>
      <c r="S35" s="1"/>
      <c r="T35" s="1"/>
      <c r="U35" s="1"/>
      <c r="V35" s="1"/>
      <c r="W35" s="1"/>
    </row>
    <row r="36" spans="1:23" x14ac:dyDescent="0.3">
      <c r="A36" s="1"/>
      <c r="B36" s="1"/>
      <c r="C36" s="1"/>
      <c r="D36" s="1"/>
      <c r="E36" s="1"/>
      <c r="F36" s="1"/>
      <c r="G36" s="1"/>
      <c r="H36" s="1"/>
      <c r="I36" s="1"/>
      <c r="J36" s="1"/>
      <c r="K36" s="1"/>
      <c r="L36" s="1"/>
      <c r="M36" s="1"/>
      <c r="N36" s="1"/>
      <c r="O36" s="1"/>
      <c r="P36" s="1"/>
      <c r="Q36" s="1"/>
      <c r="R36" s="1"/>
      <c r="S36" s="1"/>
      <c r="T36" s="1"/>
      <c r="U36" s="1"/>
      <c r="V36" s="1"/>
      <c r="W36" s="1"/>
    </row>
  </sheetData>
  <sheetProtection algorithmName="SHA-512" hashValue="ip3xsJw9Y+VnATHfIL9roMQ3flY0jGGaCxcHGby1+/HvUzDSoObfLmnC3gN/jWT5Qa7OhaQUi9qPRpoM53enew==" saltValue="+/vmNh4xpEC20JM3Hlt51Q==" spinCount="100000" sheet="1" objects="1" scenarios="1" select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AQ37"/>
  <sheetViews>
    <sheetView workbookViewId="0">
      <selection activeCell="C2" sqref="C2"/>
    </sheetView>
  </sheetViews>
  <sheetFormatPr defaultRowHeight="14.4" x14ac:dyDescent="0.3"/>
  <cols>
    <col min="1" max="1" width="27.33203125" style="24" customWidth="1"/>
    <col min="2" max="2" width="1.5546875" style="15" customWidth="1"/>
    <col min="3" max="3" width="10.21875" style="15" customWidth="1"/>
    <col min="4" max="4" width="6.109375" style="15" bestFit="1" customWidth="1"/>
    <col min="5" max="5" width="10.21875" style="15" customWidth="1"/>
    <col min="6" max="6" width="6.109375" style="8" bestFit="1" customWidth="1"/>
    <col min="7" max="7" width="6.21875" style="8" customWidth="1"/>
    <col min="8" max="8" width="8.109375" style="15" hidden="1" customWidth="1"/>
    <col min="9" max="9" width="2.5546875" style="15" hidden="1" customWidth="1"/>
    <col min="10" max="10" width="7.21875" style="15" hidden="1" customWidth="1"/>
    <col min="11" max="11" width="8.88671875" style="8" hidden="1" customWidth="1"/>
    <col min="12" max="12" width="3.6640625" style="19" hidden="1" customWidth="1"/>
    <col min="13" max="13" width="6.33203125" style="19" hidden="1" customWidth="1"/>
    <col min="14" max="14" width="6.21875" style="19" hidden="1" customWidth="1"/>
    <col min="15" max="16" width="12" style="20" hidden="1" customWidth="1"/>
    <col min="17" max="17" width="3.6640625" style="20" hidden="1" customWidth="1"/>
    <col min="18" max="18" width="4.5546875" style="8" hidden="1" customWidth="1"/>
    <col min="19" max="19" width="5" style="8" hidden="1" customWidth="1"/>
    <col min="20" max="21" width="12" style="8" hidden="1" customWidth="1"/>
    <col min="22" max="28" width="8.88671875" style="8" hidden="1" customWidth="1"/>
    <col min="29" max="16384" width="8.88671875" style="8"/>
  </cols>
  <sheetData>
    <row r="1" spans="1:43" x14ac:dyDescent="0.3">
      <c r="A1" s="22"/>
      <c r="B1" s="5"/>
      <c r="C1" s="5"/>
      <c r="D1" s="5"/>
      <c r="E1" s="5"/>
      <c r="F1" s="4"/>
      <c r="G1" s="4"/>
      <c r="H1" s="5" t="s">
        <v>35</v>
      </c>
      <c r="I1" s="5"/>
      <c r="J1" s="5" t="s">
        <v>35</v>
      </c>
      <c r="K1" s="5"/>
      <c r="L1" s="16"/>
      <c r="M1" s="16"/>
      <c r="N1" s="16"/>
      <c r="O1" s="17"/>
      <c r="P1" s="17"/>
      <c r="Q1" s="25"/>
      <c r="R1" s="6"/>
      <c r="S1" s="6"/>
      <c r="T1" s="6" t="s">
        <v>10</v>
      </c>
      <c r="U1" s="6" t="s">
        <v>11</v>
      </c>
      <c r="V1" s="7"/>
      <c r="W1" s="7"/>
      <c r="X1" s="7"/>
      <c r="Y1" s="31" t="s">
        <v>10</v>
      </c>
      <c r="Z1" s="31"/>
      <c r="AA1" s="31" t="s">
        <v>11</v>
      </c>
      <c r="AB1" s="31"/>
      <c r="AC1" s="7"/>
      <c r="AD1" s="7"/>
      <c r="AE1" s="7"/>
      <c r="AF1" s="7"/>
      <c r="AG1" s="7"/>
      <c r="AH1" s="7"/>
      <c r="AI1" s="7"/>
      <c r="AJ1" s="7"/>
      <c r="AK1" s="7"/>
      <c r="AL1" s="7"/>
      <c r="AM1" s="7"/>
      <c r="AN1" s="7"/>
      <c r="AO1" s="7"/>
      <c r="AP1" s="7"/>
      <c r="AQ1" s="7"/>
    </row>
    <row r="2" spans="1:43" x14ac:dyDescent="0.3">
      <c r="A2" s="22" t="s">
        <v>1</v>
      </c>
      <c r="B2" s="5" t="s">
        <v>3</v>
      </c>
      <c r="C2" s="2" t="s">
        <v>4</v>
      </c>
      <c r="D2" s="5"/>
      <c r="E2" s="5"/>
      <c r="F2" s="4"/>
      <c r="G2" s="4"/>
      <c r="I2" s="5" t="s">
        <v>35</v>
      </c>
      <c r="J2" s="5"/>
      <c r="K2" s="5" t="s">
        <v>35</v>
      </c>
      <c r="L2" s="16"/>
      <c r="M2" s="18"/>
      <c r="N2" s="18"/>
      <c r="O2" s="17"/>
      <c r="P2" s="7" t="str">
        <f>IF(AND($H$7&gt;=$R2,$H$7&lt;=$S2),"OK","Not valid")</f>
        <v>OK</v>
      </c>
      <c r="Q2" s="25" t="s">
        <v>25</v>
      </c>
      <c r="R2" s="9">
        <v>2.5</v>
      </c>
      <c r="S2" s="9">
        <v>4.5</v>
      </c>
      <c r="T2" s="6">
        <f>H7*Y2+Z2</f>
        <v>4.6575100715963451</v>
      </c>
      <c r="U2" s="6">
        <f>H7*AA2+AB2</f>
        <v>4.420396781343837</v>
      </c>
      <c r="V2" s="7"/>
      <c r="W2" s="7"/>
      <c r="X2" s="7"/>
      <c r="Y2" s="31">
        <v>1.47333114312757</v>
      </c>
      <c r="Z2" s="31">
        <v>-0.49914892935014998</v>
      </c>
      <c r="AA2" s="31">
        <v>1.4674270120019799</v>
      </c>
      <c r="AB2" s="31">
        <v>-0.715597760663092</v>
      </c>
      <c r="AC2" s="7"/>
      <c r="AD2" s="7"/>
      <c r="AE2" s="7"/>
      <c r="AF2" s="7"/>
      <c r="AG2" s="7"/>
      <c r="AH2" s="7"/>
      <c r="AI2" s="7"/>
      <c r="AJ2" s="7"/>
      <c r="AK2" s="7"/>
      <c r="AL2" s="7"/>
      <c r="AM2" s="7"/>
      <c r="AN2" s="7"/>
      <c r="AO2" s="7"/>
      <c r="AP2" s="7"/>
      <c r="AQ2" s="7"/>
    </row>
    <row r="3" spans="1:43" x14ac:dyDescent="0.3">
      <c r="A3" s="22"/>
      <c r="B3" s="5"/>
      <c r="C3" s="5"/>
      <c r="D3" s="5"/>
      <c r="E3" s="5"/>
      <c r="F3" s="4"/>
      <c r="G3" s="4"/>
      <c r="H3" s="5"/>
      <c r="I3" s="5"/>
      <c r="J3" s="5"/>
      <c r="K3" s="4"/>
      <c r="L3" s="16"/>
      <c r="M3" s="18"/>
      <c r="N3" s="18"/>
      <c r="O3" s="17"/>
      <c r="P3" s="7" t="str">
        <f>IF(AND($H$7&gt;=$R3,$H$7&lt;=$S3),"OK","Not valid")</f>
        <v>OK</v>
      </c>
      <c r="Q3" s="25" t="s">
        <v>4</v>
      </c>
      <c r="R3" s="9">
        <v>2.2000000000000002</v>
      </c>
      <c r="S3" s="9">
        <v>4.8</v>
      </c>
      <c r="T3" s="6">
        <f>H7*Y3+Z3</f>
        <v>3.2457883365</v>
      </c>
      <c r="U3" s="6">
        <f>H7*AA3+AB3</f>
        <v>3.0574877535000002</v>
      </c>
      <c r="V3" s="7"/>
      <c r="W3" s="7"/>
      <c r="X3" s="7"/>
      <c r="Y3" s="31">
        <v>0.97923139699999995</v>
      </c>
      <c r="Z3" s="31">
        <v>-0.181521553</v>
      </c>
      <c r="AA3" s="31">
        <v>0.97902782300000002</v>
      </c>
      <c r="AB3" s="31">
        <v>-0.369109627</v>
      </c>
      <c r="AC3" s="7"/>
      <c r="AD3" s="7"/>
      <c r="AE3" s="7"/>
      <c r="AF3" s="7"/>
      <c r="AG3" s="7"/>
      <c r="AH3" s="7"/>
      <c r="AI3" s="7"/>
      <c r="AJ3" s="7"/>
      <c r="AK3" s="7"/>
      <c r="AL3" s="7"/>
      <c r="AM3" s="7"/>
      <c r="AN3" s="7"/>
      <c r="AO3" s="7"/>
      <c r="AP3" s="7"/>
      <c r="AQ3" s="7"/>
    </row>
    <row r="4" spans="1:43" x14ac:dyDescent="0.3">
      <c r="A4" s="22"/>
      <c r="B4" s="5"/>
      <c r="C4" s="5" t="s">
        <v>6</v>
      </c>
      <c r="D4" s="5"/>
      <c r="E4" s="5" t="s">
        <v>7</v>
      </c>
      <c r="F4" s="4"/>
      <c r="G4" s="4"/>
      <c r="H4" s="5" t="s">
        <v>6</v>
      </c>
      <c r="I4" s="5"/>
      <c r="J4" s="5" t="s">
        <v>7</v>
      </c>
      <c r="K4" s="4"/>
      <c r="L4" s="16"/>
      <c r="M4" s="16"/>
      <c r="N4" s="16"/>
      <c r="O4" s="17"/>
      <c r="P4" s="7" t="str">
        <f t="shared" ref="P4:P5" si="0">IF(AND($H$7&gt;=$R4,$H$7&lt;=$S4),"OK","Not valid")</f>
        <v>OK</v>
      </c>
      <c r="Q4" s="25" t="s">
        <v>26</v>
      </c>
      <c r="R4" s="6">
        <v>3.5</v>
      </c>
      <c r="S4" s="6">
        <v>7.5</v>
      </c>
      <c r="T4" s="6">
        <f>H7*Y4+Z4</f>
        <v>2.0024796998924619</v>
      </c>
      <c r="U4" s="6">
        <f>H7*AA4+AB4</f>
        <v>1.8516042214412343</v>
      </c>
      <c r="V4" s="7"/>
      <c r="W4" s="7"/>
      <c r="X4" s="7"/>
      <c r="Y4" s="31">
        <v>0.61772714746243396</v>
      </c>
      <c r="Z4" s="31">
        <v>-0.15956531622605699</v>
      </c>
      <c r="AA4" s="31">
        <v>0.62152048363024504</v>
      </c>
      <c r="AB4" s="31">
        <v>-0.32371747126462302</v>
      </c>
      <c r="AC4" s="7"/>
      <c r="AD4" s="7"/>
      <c r="AE4" s="7"/>
      <c r="AF4" s="7"/>
      <c r="AG4" s="7"/>
      <c r="AH4" s="7"/>
      <c r="AI4" s="7"/>
      <c r="AJ4" s="7"/>
      <c r="AK4" s="7"/>
      <c r="AL4" s="7"/>
      <c r="AM4" s="7"/>
      <c r="AN4" s="7"/>
      <c r="AO4" s="7"/>
      <c r="AP4" s="7"/>
      <c r="AQ4" s="7"/>
    </row>
    <row r="5" spans="1:43" x14ac:dyDescent="0.3">
      <c r="A5" s="22" t="s">
        <v>5</v>
      </c>
      <c r="B5" s="5" t="s">
        <v>3</v>
      </c>
      <c r="C5" s="10">
        <f>IF($C$2&lt;&gt;"",$H$5*VLOOKUP($D7,X11:Z15,3,FALSE),"-")</f>
        <v>2.2000000000000002</v>
      </c>
      <c r="D5" s="11" t="s">
        <v>21</v>
      </c>
      <c r="E5" s="10">
        <f>IF($C$2&lt;&gt;"",$J$5*VLOOKUP($D7,X11:Z15,3,FALSE),"-")</f>
        <v>4.8</v>
      </c>
      <c r="F5" s="4"/>
      <c r="G5" s="4"/>
      <c r="H5" s="10">
        <f>IF($C$2&lt;&gt;"",VLOOKUP($C$2,$Q$2:$U$5,2,FALSE),"")</f>
        <v>2.2000000000000002</v>
      </c>
      <c r="I5" s="11" t="s">
        <v>21</v>
      </c>
      <c r="J5" s="10">
        <f>IF($C$2&lt;&gt;"",VLOOKUP(C2,$Q$2:$U$5,3,FALSE),"")</f>
        <v>4.8</v>
      </c>
      <c r="K5" s="4" t="s">
        <v>13</v>
      </c>
      <c r="L5" s="16"/>
      <c r="M5" s="16"/>
      <c r="N5" s="16"/>
      <c r="O5" s="17"/>
      <c r="P5" s="7" t="str">
        <f t="shared" si="0"/>
        <v>Not valid</v>
      </c>
      <c r="Q5" s="25" t="s">
        <v>24</v>
      </c>
      <c r="R5" s="6">
        <v>7</v>
      </c>
      <c r="S5" s="6">
        <v>15.5</v>
      </c>
      <c r="T5" s="6">
        <f>H7*Y5+Z5</f>
        <v>0.92410616499999998</v>
      </c>
      <c r="U5" s="6">
        <f>H7*AA5+AB5</f>
        <v>0.87403848399999995</v>
      </c>
      <c r="V5" s="7"/>
      <c r="W5" s="7"/>
      <c r="X5" s="7"/>
      <c r="Y5" s="31">
        <v>0.28538741000000001</v>
      </c>
      <c r="Z5" s="31">
        <v>-7.4749769999999993E-2</v>
      </c>
      <c r="AA5" s="31">
        <v>0.28890355000000001</v>
      </c>
      <c r="AB5" s="31">
        <v>-0.137123941</v>
      </c>
      <c r="AC5" s="7"/>
      <c r="AD5" s="7"/>
      <c r="AE5" s="7"/>
      <c r="AF5" s="7"/>
      <c r="AG5" s="7"/>
      <c r="AH5" s="7"/>
      <c r="AI5" s="7"/>
      <c r="AJ5" s="7"/>
      <c r="AK5" s="7"/>
      <c r="AL5" s="7"/>
      <c r="AM5" s="7"/>
      <c r="AN5" s="7"/>
      <c r="AO5" s="7"/>
      <c r="AP5" s="7"/>
      <c r="AQ5" s="7"/>
    </row>
    <row r="6" spans="1:43" x14ac:dyDescent="0.3">
      <c r="A6" s="22"/>
      <c r="B6" s="5"/>
      <c r="C6" s="5"/>
      <c r="D6" s="5"/>
      <c r="E6" s="5"/>
      <c r="F6" s="4"/>
      <c r="G6" s="4"/>
      <c r="H6" s="5"/>
      <c r="I6" s="5"/>
      <c r="J6" s="5"/>
      <c r="K6" s="4"/>
      <c r="L6" s="16"/>
      <c r="M6" s="16"/>
      <c r="N6" s="16"/>
      <c r="O6" s="17"/>
      <c r="P6" s="17"/>
      <c r="Q6" s="26"/>
      <c r="R6" s="7"/>
      <c r="S6" s="7"/>
      <c r="T6" s="7"/>
      <c r="U6" s="7"/>
      <c r="V6" s="7"/>
      <c r="W6" s="7"/>
      <c r="X6" s="7"/>
      <c r="Y6" s="7"/>
      <c r="Z6" s="7"/>
      <c r="AA6" s="7"/>
      <c r="AB6" s="7"/>
      <c r="AC6" s="7"/>
      <c r="AD6" s="7"/>
      <c r="AE6" s="7"/>
      <c r="AF6" s="7"/>
      <c r="AG6" s="7"/>
      <c r="AH6" s="7"/>
      <c r="AI6" s="7"/>
      <c r="AJ6" s="7"/>
      <c r="AK6" s="7"/>
      <c r="AL6" s="7"/>
      <c r="AM6" s="7"/>
      <c r="AN6" s="7"/>
      <c r="AO6" s="7"/>
      <c r="AP6" s="7"/>
      <c r="AQ6" s="7"/>
    </row>
    <row r="7" spans="1:43" x14ac:dyDescent="0.3">
      <c r="A7" s="22" t="s">
        <v>0</v>
      </c>
      <c r="B7" s="5" t="s">
        <v>3</v>
      </c>
      <c r="C7" s="3">
        <v>3.5</v>
      </c>
      <c r="D7" s="30" t="s">
        <v>13</v>
      </c>
      <c r="E7" s="12"/>
      <c r="F7" s="4"/>
      <c r="G7" s="4"/>
      <c r="H7" s="27">
        <f>IF(AND($C$2&lt;&gt;"", $C$7&lt;&gt;""),$C$7*VLOOKUP($D$7,$X$11:$Z$15,2,FALSE),"")</f>
        <v>3.5</v>
      </c>
      <c r="I7" s="12" t="s">
        <v>13</v>
      </c>
      <c r="J7" s="22" t="s">
        <v>41</v>
      </c>
      <c r="K7" s="28" t="b">
        <f>NOT(ISERROR(H7))</f>
        <v>1</v>
      </c>
      <c r="L7" s="16"/>
      <c r="M7" s="16"/>
      <c r="N7" s="16"/>
      <c r="O7" s="17"/>
      <c r="P7" s="17"/>
      <c r="Q7" s="26"/>
      <c r="R7" s="7"/>
      <c r="S7" s="7"/>
      <c r="T7" s="7"/>
      <c r="U7" s="7"/>
      <c r="V7" s="7"/>
      <c r="W7" s="7"/>
      <c r="X7" s="7"/>
      <c r="Y7" s="7"/>
      <c r="Z7" s="7"/>
      <c r="AA7" s="7"/>
      <c r="AB7" s="7"/>
      <c r="AC7" s="7"/>
      <c r="AD7" s="7"/>
      <c r="AE7" s="7"/>
      <c r="AF7" s="7"/>
      <c r="AG7" s="7"/>
      <c r="AH7" s="7"/>
      <c r="AI7" s="7"/>
      <c r="AJ7" s="7"/>
      <c r="AK7" s="7"/>
      <c r="AL7" s="7"/>
      <c r="AM7" s="7"/>
      <c r="AN7" s="7"/>
      <c r="AO7" s="7"/>
      <c r="AP7" s="7"/>
      <c r="AQ7" s="7"/>
    </row>
    <row r="8" spans="1:43" x14ac:dyDescent="0.3">
      <c r="A8" s="22"/>
      <c r="B8" s="5"/>
      <c r="C8" s="13"/>
      <c r="D8" s="13"/>
      <c r="E8" s="12"/>
      <c r="F8" s="4"/>
      <c r="G8" s="4"/>
      <c r="H8" s="13"/>
      <c r="I8" s="13"/>
      <c r="J8" s="12"/>
      <c r="K8" s="4"/>
      <c r="L8" s="16"/>
      <c r="M8" s="16"/>
      <c r="N8" s="16"/>
      <c r="O8" s="17"/>
      <c r="P8" s="17"/>
      <c r="Q8" s="26"/>
      <c r="R8" s="7"/>
      <c r="S8" s="7"/>
      <c r="T8" s="7"/>
      <c r="U8" s="7"/>
      <c r="V8" s="7"/>
      <c r="W8" s="7"/>
      <c r="X8" s="7"/>
      <c r="Y8" s="7"/>
      <c r="Z8" s="7"/>
      <c r="AA8" s="7"/>
      <c r="AB8" s="7"/>
      <c r="AC8" s="7"/>
      <c r="AD8" s="7"/>
      <c r="AE8" s="7"/>
      <c r="AF8" s="7"/>
      <c r="AG8" s="7"/>
      <c r="AH8" s="7"/>
      <c r="AI8" s="7"/>
      <c r="AJ8" s="7"/>
      <c r="AK8" s="7"/>
      <c r="AL8" s="7"/>
      <c r="AM8" s="7"/>
      <c r="AN8" s="7"/>
      <c r="AO8" s="7"/>
      <c r="AP8" s="7"/>
      <c r="AQ8" s="7"/>
    </row>
    <row r="9" spans="1:43" ht="15" thickBot="1" x14ac:dyDescent="0.35">
      <c r="A9" s="22"/>
      <c r="B9" s="5"/>
      <c r="C9" s="5"/>
      <c r="D9" s="5"/>
      <c r="E9" s="12"/>
      <c r="F9" s="4"/>
      <c r="G9" s="4"/>
      <c r="H9" s="5"/>
      <c r="I9" s="5"/>
      <c r="J9" s="12"/>
      <c r="K9" s="4"/>
      <c r="L9" s="16"/>
      <c r="M9" s="16"/>
      <c r="N9" s="16"/>
      <c r="O9" s="17"/>
      <c r="P9" s="17"/>
      <c r="Q9" s="26"/>
      <c r="R9" s="7"/>
      <c r="S9" s="7"/>
      <c r="T9" s="7"/>
      <c r="U9" s="7"/>
      <c r="V9" s="7"/>
      <c r="W9" s="7"/>
      <c r="X9" s="7"/>
      <c r="Y9" s="7"/>
      <c r="Z9" s="7"/>
      <c r="AA9" s="7"/>
      <c r="AB9" s="7"/>
      <c r="AC9" s="7"/>
      <c r="AD9" s="7"/>
      <c r="AE9" s="7"/>
      <c r="AF9" s="7"/>
      <c r="AG9" s="7"/>
      <c r="AH9" s="7"/>
      <c r="AI9" s="7"/>
      <c r="AJ9" s="7"/>
      <c r="AK9" s="7"/>
      <c r="AL9" s="7"/>
      <c r="AM9" s="7"/>
      <c r="AN9" s="7"/>
      <c r="AO9" s="7"/>
      <c r="AP9" s="7"/>
      <c r="AQ9" s="7"/>
    </row>
    <row r="10" spans="1:43" ht="15" thickBot="1" x14ac:dyDescent="0.35">
      <c r="A10" s="22" t="s">
        <v>2</v>
      </c>
      <c r="B10" s="5" t="s">
        <v>3</v>
      </c>
      <c r="C10" s="14">
        <f>IF(H10&lt;&gt;"",H10*VLOOKUP($D10,X11:Z15,3,FALSE),"-")</f>
        <v>3.24</v>
      </c>
      <c r="D10" s="30" t="s">
        <v>13</v>
      </c>
      <c r="E10" s="12"/>
      <c r="F10" s="4"/>
      <c r="G10" s="4"/>
      <c r="H10" s="14">
        <f>IF(K7,IF(AND($C$2&lt;&gt;"",$H$7&gt;=$H$5, $H$7&lt;=$J$5), FLOOR( VLOOKUP($C$2,$Q$2:$U$5,4,FALSE),0.01),""),"")</f>
        <v>3.24</v>
      </c>
      <c r="I10" s="12" t="s">
        <v>13</v>
      </c>
      <c r="J10" s="12"/>
      <c r="K10" s="4"/>
      <c r="L10" s="16"/>
      <c r="M10" s="16"/>
      <c r="O10" s="17"/>
      <c r="P10" s="17"/>
      <c r="Q10" s="26"/>
      <c r="R10" s="7"/>
      <c r="S10" s="7"/>
      <c r="T10" s="7"/>
      <c r="U10" s="7"/>
      <c r="V10" s="7"/>
      <c r="W10" s="7"/>
      <c r="X10" s="7"/>
      <c r="Y10" s="7"/>
      <c r="Z10" s="7"/>
      <c r="AA10" s="7"/>
      <c r="AB10" s="7"/>
      <c r="AC10" s="7"/>
      <c r="AD10" s="7"/>
      <c r="AE10" s="7"/>
      <c r="AF10" s="7"/>
      <c r="AG10" s="7"/>
      <c r="AH10" s="7"/>
      <c r="AI10" s="7"/>
      <c r="AJ10" s="7"/>
      <c r="AK10" s="7"/>
      <c r="AL10" s="7"/>
      <c r="AM10" s="7"/>
      <c r="AN10" s="7"/>
      <c r="AO10" s="7"/>
      <c r="AP10" s="7"/>
      <c r="AQ10" s="7"/>
    </row>
    <row r="11" spans="1:43" x14ac:dyDescent="0.3">
      <c r="A11" s="22"/>
      <c r="B11" s="5"/>
      <c r="C11" s="5"/>
      <c r="D11" s="5"/>
      <c r="E11" s="5"/>
      <c r="F11" s="4"/>
      <c r="G11" s="4"/>
      <c r="H11" s="5"/>
      <c r="I11" s="5"/>
      <c r="J11" s="5"/>
      <c r="K11" s="4"/>
      <c r="L11" s="16"/>
      <c r="M11" s="16"/>
      <c r="N11" s="16"/>
      <c r="O11" s="17"/>
      <c r="P11" s="17"/>
      <c r="Q11" s="26"/>
      <c r="R11" s="7"/>
      <c r="S11" s="7"/>
      <c r="T11" s="7"/>
      <c r="U11" s="7"/>
      <c r="V11" s="7"/>
      <c r="W11" s="7"/>
      <c r="X11" s="7" t="s">
        <v>31</v>
      </c>
      <c r="Y11" s="7">
        <v>1E-3</v>
      </c>
      <c r="Z11" s="7">
        <v>1000</v>
      </c>
      <c r="AA11" s="7"/>
      <c r="AB11" s="7"/>
      <c r="AC11" s="7"/>
      <c r="AD11" s="7"/>
      <c r="AE11" s="7"/>
      <c r="AF11" s="7"/>
      <c r="AG11" s="7"/>
      <c r="AH11" s="7"/>
      <c r="AI11" s="7"/>
      <c r="AJ11" s="7"/>
      <c r="AK11" s="7"/>
      <c r="AL11" s="7"/>
      <c r="AM11" s="7"/>
      <c r="AN11" s="7"/>
      <c r="AO11" s="7"/>
      <c r="AP11" s="7"/>
      <c r="AQ11" s="7"/>
    </row>
    <row r="12" spans="1:43" x14ac:dyDescent="0.3">
      <c r="A12" s="22"/>
      <c r="B12" s="5"/>
      <c r="C12" s="5"/>
      <c r="D12" s="5"/>
      <c r="E12" s="5"/>
      <c r="F12" s="4"/>
      <c r="G12" s="4"/>
      <c r="H12" s="5"/>
      <c r="I12" s="5"/>
      <c r="J12" s="5"/>
      <c r="K12" s="4"/>
      <c r="L12" s="16"/>
      <c r="M12" s="16"/>
      <c r="N12" s="16"/>
      <c r="O12" s="17"/>
      <c r="P12" s="17"/>
      <c r="Q12" s="26"/>
      <c r="R12" s="7"/>
      <c r="S12" s="7"/>
      <c r="T12" s="7"/>
      <c r="U12" s="7"/>
      <c r="V12" s="7"/>
      <c r="W12" s="7"/>
      <c r="X12" s="7" t="s">
        <v>32</v>
      </c>
      <c r="Y12" s="7">
        <v>0.01</v>
      </c>
      <c r="Z12" s="7">
        <v>100</v>
      </c>
      <c r="AA12" s="7"/>
      <c r="AB12" s="7"/>
      <c r="AC12" s="7"/>
      <c r="AD12" s="7"/>
      <c r="AE12" s="7"/>
      <c r="AF12" s="7"/>
      <c r="AG12" s="7"/>
      <c r="AH12" s="7"/>
      <c r="AI12" s="7"/>
      <c r="AJ12" s="7"/>
      <c r="AK12" s="7"/>
      <c r="AL12" s="7"/>
      <c r="AM12" s="7"/>
      <c r="AN12" s="7"/>
      <c r="AO12" s="7"/>
      <c r="AP12" s="7"/>
      <c r="AQ12" s="7"/>
    </row>
    <row r="13" spans="1:43" x14ac:dyDescent="0.3">
      <c r="A13" s="22" t="s">
        <v>36</v>
      </c>
      <c r="B13" s="5" t="s">
        <v>3</v>
      </c>
      <c r="C13" s="35" t="str">
        <f>IF(NOT(K7),"Invalid entry for Mounting Height",IF(AND($C$2="",$C$7=""),"Choose a Lens Variant and a Mounting Height",IF($C$2="","Choose a lens Variant",IF($C$7="","Enter a Mounting Height",IF($H$7&gt;16,"Mounting Height too High for ANY lens Variant counter",IF($C$7&lt;$C$5,"Mounting Height too low for chosen Lens Variant",IF($C$7&gt;$E$5,"Mounting Height too high for chosen Lens Variant","")))))))</f>
        <v/>
      </c>
      <c r="D13" s="36"/>
      <c r="E13" s="36"/>
      <c r="F13" s="37"/>
      <c r="G13" s="4"/>
      <c r="H13" s="5"/>
      <c r="I13" s="5"/>
      <c r="J13" s="5"/>
      <c r="K13" s="4"/>
      <c r="L13" s="16"/>
      <c r="M13" s="16"/>
      <c r="N13" s="16"/>
      <c r="O13" s="17"/>
      <c r="P13" s="17"/>
      <c r="Q13" s="26"/>
      <c r="R13" s="7"/>
      <c r="S13" s="7"/>
      <c r="T13" s="7"/>
      <c r="U13" s="7"/>
      <c r="V13" s="7"/>
      <c r="W13" s="7"/>
      <c r="X13" s="7" t="s">
        <v>13</v>
      </c>
      <c r="Y13" s="7">
        <v>1</v>
      </c>
      <c r="Z13" s="7">
        <v>1</v>
      </c>
      <c r="AA13" s="7"/>
      <c r="AB13" s="7"/>
      <c r="AC13" s="7"/>
      <c r="AD13" s="7"/>
      <c r="AE13" s="7"/>
      <c r="AF13" s="7"/>
      <c r="AG13" s="7"/>
      <c r="AH13" s="7"/>
      <c r="AI13" s="7"/>
      <c r="AJ13" s="7"/>
      <c r="AK13" s="7"/>
      <c r="AL13" s="7"/>
      <c r="AM13" s="7"/>
      <c r="AN13" s="7"/>
      <c r="AO13" s="7"/>
      <c r="AP13" s="7"/>
      <c r="AQ13" s="7"/>
    </row>
    <row r="14" spans="1:43" x14ac:dyDescent="0.3">
      <c r="A14" s="22"/>
      <c r="B14" s="5"/>
      <c r="C14" s="38"/>
      <c r="D14" s="39"/>
      <c r="E14" s="39"/>
      <c r="F14" s="40"/>
      <c r="G14" s="4"/>
      <c r="H14" s="5"/>
      <c r="I14" s="5"/>
      <c r="J14" s="5"/>
      <c r="K14" s="4"/>
      <c r="L14" s="16"/>
      <c r="M14" s="16"/>
      <c r="N14" s="16"/>
      <c r="O14" s="17"/>
      <c r="P14" s="17"/>
      <c r="Q14" s="26"/>
      <c r="R14" s="7"/>
      <c r="S14" s="7"/>
      <c r="T14" s="7"/>
      <c r="U14" s="7"/>
      <c r="V14" s="7"/>
      <c r="W14" s="7"/>
      <c r="X14" s="7" t="s">
        <v>33</v>
      </c>
      <c r="Y14" s="7">
        <v>0.30480000000000002</v>
      </c>
      <c r="Z14" s="7">
        <v>3.28084</v>
      </c>
      <c r="AA14" s="7"/>
      <c r="AB14" s="7"/>
      <c r="AC14" s="7"/>
      <c r="AD14" s="7"/>
      <c r="AE14" s="7"/>
      <c r="AF14" s="7"/>
      <c r="AG14" s="7"/>
      <c r="AH14" s="7"/>
      <c r="AI14" s="7"/>
      <c r="AJ14" s="7"/>
      <c r="AK14" s="7"/>
      <c r="AL14" s="7"/>
      <c r="AM14" s="7"/>
      <c r="AN14" s="7"/>
      <c r="AO14" s="7"/>
      <c r="AP14" s="7"/>
      <c r="AQ14" s="7"/>
    </row>
    <row r="15" spans="1:43" x14ac:dyDescent="0.3">
      <c r="A15" s="22"/>
      <c r="B15" s="5"/>
      <c r="C15" s="41"/>
      <c r="D15" s="42"/>
      <c r="E15" s="42"/>
      <c r="F15" s="43"/>
      <c r="G15" s="4"/>
      <c r="H15" s="5"/>
      <c r="I15" s="5"/>
      <c r="J15" s="5"/>
      <c r="K15" s="4"/>
      <c r="L15" s="16"/>
      <c r="M15" s="16"/>
      <c r="N15" s="16"/>
      <c r="O15" s="17"/>
      <c r="P15" s="17"/>
      <c r="Q15" s="26"/>
      <c r="R15" s="7"/>
      <c r="S15" s="7"/>
      <c r="T15" s="7"/>
      <c r="U15" s="7"/>
      <c r="V15" s="7"/>
      <c r="W15" s="7"/>
      <c r="X15" s="7" t="s">
        <v>34</v>
      </c>
      <c r="Y15" s="7">
        <v>2.5399999999999999E-2</v>
      </c>
      <c r="Z15" s="7">
        <v>39.370100000000001</v>
      </c>
      <c r="AA15" s="7"/>
      <c r="AB15" s="7"/>
      <c r="AC15" s="7"/>
      <c r="AD15" s="7"/>
      <c r="AE15" s="7"/>
      <c r="AF15" s="7"/>
      <c r="AG15" s="7"/>
      <c r="AH15" s="7"/>
      <c r="AI15" s="7"/>
      <c r="AJ15" s="7"/>
      <c r="AK15" s="7"/>
      <c r="AL15" s="7"/>
      <c r="AM15" s="7"/>
      <c r="AN15" s="7"/>
      <c r="AO15" s="7"/>
      <c r="AP15" s="7"/>
      <c r="AQ15" s="7"/>
    </row>
    <row r="16" spans="1:43" x14ac:dyDescent="0.3">
      <c r="A16" s="22"/>
      <c r="B16" s="5"/>
      <c r="C16" s="5"/>
      <c r="D16" s="5"/>
      <c r="E16" s="5"/>
      <c r="F16" s="4"/>
      <c r="G16" s="4"/>
      <c r="H16" s="5"/>
      <c r="I16" s="5"/>
      <c r="J16" s="5"/>
      <c r="K16" s="4"/>
      <c r="L16" s="16"/>
      <c r="M16" s="16"/>
      <c r="N16" s="16"/>
      <c r="O16" s="17"/>
      <c r="P16" s="17"/>
      <c r="Q16" s="26"/>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x14ac:dyDescent="0.3">
      <c r="A17" s="22"/>
      <c r="B17" s="5"/>
      <c r="C17" s="5"/>
      <c r="D17" s="5"/>
      <c r="E17" s="5"/>
      <c r="F17" s="4"/>
      <c r="G17" s="4"/>
      <c r="H17" s="5"/>
      <c r="I17" s="5"/>
      <c r="J17" s="5"/>
      <c r="K17" s="4"/>
      <c r="L17" s="16"/>
      <c r="M17" s="16"/>
      <c r="N17" s="16"/>
      <c r="O17" s="17"/>
      <c r="P17" s="17"/>
      <c r="Q17" s="26"/>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x14ac:dyDescent="0.3">
      <c r="A18" s="23"/>
      <c r="B18" s="6"/>
      <c r="C18" s="6"/>
      <c r="D18" s="6"/>
      <c r="E18" s="6"/>
      <c r="F18" s="7"/>
      <c r="G18" s="7"/>
      <c r="H18" s="6"/>
      <c r="I18" s="6"/>
      <c r="J18" s="6"/>
      <c r="K18" s="7"/>
      <c r="L18" s="16"/>
      <c r="M18" s="16"/>
      <c r="N18" s="16"/>
      <c r="O18" s="17"/>
      <c r="P18" s="17"/>
      <c r="Q18" s="26"/>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x14ac:dyDescent="0.3">
      <c r="A19" s="23"/>
      <c r="B19" s="6"/>
      <c r="C19" s="6"/>
      <c r="D19" s="6"/>
      <c r="E19" s="6"/>
      <c r="F19" s="7"/>
      <c r="G19" s="7"/>
      <c r="H19" s="6"/>
      <c r="I19" s="6"/>
      <c r="J19" s="6"/>
      <c r="K19" s="7"/>
      <c r="L19" s="16"/>
      <c r="M19" s="16"/>
      <c r="N19" s="16"/>
      <c r="O19" s="17"/>
      <c r="P19" s="17"/>
      <c r="Q19" s="26"/>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x14ac:dyDescent="0.3">
      <c r="A20" s="23"/>
      <c r="B20" s="6"/>
      <c r="C20" s="6"/>
      <c r="D20" s="6"/>
      <c r="E20" s="6"/>
      <c r="F20" s="7"/>
      <c r="G20" s="7"/>
      <c r="H20" s="6"/>
      <c r="I20" s="6"/>
      <c r="J20" s="6"/>
      <c r="K20" s="7"/>
      <c r="L20" s="16"/>
      <c r="M20" s="16"/>
      <c r="N20" s="16"/>
      <c r="O20" s="17"/>
      <c r="P20" s="17"/>
      <c r="Q20" s="1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x14ac:dyDescent="0.3">
      <c r="A21" s="23"/>
      <c r="B21" s="6"/>
      <c r="C21" s="6"/>
      <c r="D21" s="6"/>
      <c r="E21" s="6"/>
      <c r="F21" s="7"/>
      <c r="G21" s="7"/>
      <c r="H21" s="6"/>
      <c r="I21" s="6"/>
      <c r="J21" s="6"/>
      <c r="K21" s="7"/>
      <c r="L21" s="16"/>
      <c r="M21" s="16"/>
      <c r="N21" s="16"/>
      <c r="O21" s="17"/>
      <c r="P21" s="17"/>
      <c r="Q21" s="1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x14ac:dyDescent="0.3">
      <c r="A22" s="23"/>
      <c r="B22" s="6"/>
      <c r="C22" s="6"/>
      <c r="D22" s="6"/>
      <c r="E22" s="6"/>
      <c r="F22" s="7"/>
      <c r="G22" s="7"/>
      <c r="H22" s="6"/>
      <c r="I22" s="6"/>
      <c r="J22" s="6"/>
      <c r="K22" s="7"/>
      <c r="L22" s="16"/>
      <c r="M22" s="16"/>
      <c r="N22" s="16"/>
      <c r="O22" s="17"/>
      <c r="P22" s="17"/>
      <c r="Q22" s="17"/>
      <c r="R22" s="7"/>
      <c r="S22" s="7"/>
      <c r="T22" s="7"/>
      <c r="U22" s="7"/>
      <c r="V22" s="7"/>
      <c r="W22" s="7"/>
      <c r="X22" s="7"/>
      <c r="Y22" s="7"/>
      <c r="Z22" s="7"/>
      <c r="AA22" s="7"/>
      <c r="AB22" s="7"/>
      <c r="AC22" s="7"/>
      <c r="AD22" s="7"/>
      <c r="AE22" s="7"/>
      <c r="AF22" s="7"/>
      <c r="AG22" s="7"/>
      <c r="AH22" s="7"/>
      <c r="AI22" s="7"/>
      <c r="AJ22" s="7"/>
      <c r="AK22" s="7"/>
      <c r="AL22" s="7"/>
      <c r="AM22" s="7"/>
      <c r="AN22" s="7"/>
      <c r="AO22" s="7"/>
      <c r="AP22" s="7"/>
      <c r="AQ22" s="7"/>
    </row>
    <row r="23" spans="1:43" x14ac:dyDescent="0.3">
      <c r="A23" s="23"/>
      <c r="B23" s="6"/>
      <c r="C23" s="6"/>
      <c r="D23" s="6"/>
      <c r="E23" s="6"/>
      <c r="F23" s="7"/>
      <c r="G23" s="7"/>
      <c r="H23" s="6"/>
      <c r="I23" s="6"/>
      <c r="J23" s="6"/>
      <c r="K23" s="7"/>
      <c r="L23" s="16"/>
      <c r="M23" s="16"/>
      <c r="N23" s="16"/>
      <c r="O23" s="17"/>
      <c r="P23" s="17"/>
      <c r="Q23" s="17"/>
      <c r="R23" s="7"/>
      <c r="S23" s="7"/>
      <c r="T23" s="7"/>
      <c r="U23" s="7"/>
      <c r="V23" s="7"/>
      <c r="W23" s="7"/>
      <c r="X23" s="7"/>
      <c r="Y23" s="7"/>
      <c r="Z23" s="7"/>
      <c r="AA23" s="7"/>
      <c r="AB23" s="7"/>
      <c r="AC23" s="7"/>
      <c r="AD23" s="7"/>
      <c r="AE23" s="7"/>
      <c r="AF23" s="7"/>
      <c r="AG23" s="7"/>
      <c r="AH23" s="7"/>
      <c r="AI23" s="7"/>
      <c r="AJ23" s="7"/>
      <c r="AK23" s="7"/>
      <c r="AL23" s="7"/>
      <c r="AM23" s="7"/>
      <c r="AN23" s="7"/>
      <c r="AO23" s="7"/>
      <c r="AP23" s="7"/>
      <c r="AQ23" s="7"/>
    </row>
    <row r="24" spans="1:43" x14ac:dyDescent="0.3">
      <c r="A24" s="23"/>
      <c r="B24" s="6"/>
      <c r="C24" s="6"/>
      <c r="D24" s="6"/>
      <c r="E24" s="6"/>
      <c r="F24" s="7"/>
      <c r="G24" s="7"/>
      <c r="H24" s="6"/>
      <c r="I24" s="6"/>
      <c r="J24" s="6"/>
      <c r="K24" s="7"/>
      <c r="L24" s="16"/>
      <c r="M24" s="16"/>
      <c r="N24" s="16"/>
      <c r="O24" s="17"/>
      <c r="P24" s="17"/>
      <c r="Q24" s="17"/>
      <c r="R24" s="7"/>
      <c r="S24" s="7"/>
      <c r="T24" s="7"/>
      <c r="U24" s="7"/>
      <c r="V24" s="7"/>
      <c r="W24" s="7"/>
      <c r="X24" s="7"/>
      <c r="Y24" s="7"/>
      <c r="Z24" s="7"/>
      <c r="AA24" s="7"/>
      <c r="AB24" s="7"/>
      <c r="AC24" s="7"/>
      <c r="AD24" s="7"/>
      <c r="AE24" s="7"/>
      <c r="AF24" s="7"/>
      <c r="AG24" s="7"/>
      <c r="AH24" s="7"/>
      <c r="AI24" s="7"/>
      <c r="AJ24" s="7"/>
      <c r="AK24" s="7"/>
      <c r="AL24" s="7"/>
      <c r="AM24" s="7"/>
      <c r="AN24" s="7"/>
      <c r="AO24" s="7"/>
      <c r="AP24" s="7"/>
      <c r="AQ24" s="7"/>
    </row>
    <row r="25" spans="1:43" x14ac:dyDescent="0.3">
      <c r="A25" s="23"/>
      <c r="B25" s="6"/>
      <c r="C25" s="6"/>
      <c r="D25" s="6"/>
      <c r="E25" s="6"/>
      <c r="F25" s="7"/>
      <c r="G25" s="7"/>
      <c r="H25" s="6"/>
      <c r="I25" s="6"/>
      <c r="J25" s="6"/>
      <c r="K25" s="7"/>
      <c r="L25" s="16"/>
      <c r="M25" s="16"/>
      <c r="N25" s="16"/>
      <c r="O25" s="17"/>
      <c r="P25" s="17"/>
      <c r="Q25" s="17"/>
      <c r="R25" s="7"/>
      <c r="S25" s="7"/>
      <c r="T25" s="7"/>
      <c r="U25" s="7"/>
      <c r="V25" s="7"/>
      <c r="W25" s="7"/>
      <c r="X25" s="7"/>
      <c r="Y25" s="7"/>
      <c r="Z25" s="7"/>
      <c r="AA25" s="7"/>
      <c r="AB25" s="7"/>
      <c r="AC25" s="7"/>
      <c r="AD25" s="7"/>
      <c r="AE25" s="7"/>
      <c r="AF25" s="7"/>
      <c r="AG25" s="7"/>
      <c r="AH25" s="7"/>
      <c r="AI25" s="7"/>
      <c r="AJ25" s="7"/>
      <c r="AK25" s="7"/>
      <c r="AL25" s="7"/>
      <c r="AM25" s="7"/>
      <c r="AN25" s="7"/>
      <c r="AO25" s="7"/>
      <c r="AP25" s="7"/>
      <c r="AQ25" s="7"/>
    </row>
    <row r="26" spans="1:43" x14ac:dyDescent="0.3">
      <c r="A26" s="23"/>
      <c r="B26" s="6"/>
      <c r="C26" s="6"/>
      <c r="D26" s="6"/>
      <c r="E26" s="6"/>
      <c r="F26" s="7"/>
      <c r="G26" s="7"/>
      <c r="H26" s="6"/>
      <c r="I26" s="6"/>
      <c r="J26" s="6"/>
      <c r="K26" s="7"/>
      <c r="L26" s="16"/>
      <c r="M26" s="16"/>
      <c r="N26" s="16"/>
      <c r="O26" s="17"/>
      <c r="P26" s="17"/>
      <c r="Q26" s="17"/>
      <c r="R26" s="7"/>
      <c r="S26" s="7"/>
      <c r="T26" s="7"/>
      <c r="U26" s="7"/>
      <c r="V26" s="7"/>
      <c r="W26" s="7"/>
      <c r="X26" s="7"/>
      <c r="Y26" s="7"/>
      <c r="Z26" s="7"/>
      <c r="AA26" s="7"/>
      <c r="AB26" s="7"/>
      <c r="AC26" s="7"/>
      <c r="AD26" s="7"/>
      <c r="AE26" s="7"/>
      <c r="AF26" s="7"/>
      <c r="AG26" s="7"/>
      <c r="AH26" s="7"/>
      <c r="AI26" s="7"/>
      <c r="AJ26" s="7"/>
      <c r="AK26" s="7"/>
      <c r="AL26" s="7"/>
      <c r="AM26" s="7"/>
      <c r="AN26" s="7"/>
      <c r="AO26" s="7"/>
      <c r="AP26" s="7"/>
      <c r="AQ26" s="7"/>
    </row>
    <row r="27" spans="1:43" x14ac:dyDescent="0.3">
      <c r="A27" s="23"/>
      <c r="B27" s="6"/>
      <c r="C27" s="6"/>
      <c r="D27" s="6"/>
      <c r="E27" s="6"/>
      <c r="F27" s="7"/>
      <c r="G27" s="7"/>
      <c r="H27" s="6"/>
      <c r="I27" s="6"/>
      <c r="J27" s="6"/>
      <c r="K27" s="7"/>
      <c r="L27" s="16"/>
      <c r="M27" s="16"/>
      <c r="N27" s="16"/>
      <c r="O27" s="17"/>
      <c r="P27" s="17"/>
      <c r="Q27" s="1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x14ac:dyDescent="0.3">
      <c r="A28" s="23"/>
      <c r="B28" s="6"/>
      <c r="C28" s="6"/>
      <c r="D28" s="6"/>
      <c r="E28" s="6"/>
      <c r="F28" s="7"/>
      <c r="G28" s="7"/>
      <c r="H28" s="6"/>
      <c r="I28" s="6"/>
      <c r="J28" s="6"/>
      <c r="K28" s="7"/>
      <c r="L28" s="16"/>
      <c r="M28" s="16"/>
      <c r="N28" s="16"/>
      <c r="O28" s="17"/>
      <c r="P28" s="17"/>
      <c r="Q28" s="17"/>
      <c r="R28" s="7"/>
      <c r="S28" s="7"/>
      <c r="T28" s="7"/>
      <c r="U28" s="7"/>
      <c r="V28" s="7"/>
      <c r="W28" s="7"/>
      <c r="X28" s="7"/>
      <c r="Y28" s="7"/>
      <c r="Z28" s="7"/>
      <c r="AA28" s="7"/>
      <c r="AB28" s="7"/>
      <c r="AC28" s="7"/>
      <c r="AD28" s="7"/>
      <c r="AE28" s="7"/>
      <c r="AF28" s="7"/>
      <c r="AG28" s="7"/>
      <c r="AH28" s="7"/>
      <c r="AI28" s="7"/>
      <c r="AJ28" s="7"/>
      <c r="AK28" s="7"/>
      <c r="AL28" s="7"/>
      <c r="AM28" s="7"/>
      <c r="AN28" s="7"/>
      <c r="AO28" s="7"/>
      <c r="AP28" s="7"/>
      <c r="AQ28" s="7"/>
    </row>
    <row r="29" spans="1:43" x14ac:dyDescent="0.3">
      <c r="A29" s="23"/>
      <c r="B29" s="6"/>
      <c r="C29" s="6"/>
      <c r="D29" s="6"/>
      <c r="E29" s="6"/>
      <c r="F29" s="7"/>
      <c r="G29" s="7"/>
      <c r="H29" s="6"/>
      <c r="I29" s="6"/>
      <c r="J29" s="6"/>
      <c r="K29" s="7"/>
      <c r="L29" s="16"/>
      <c r="M29" s="16"/>
      <c r="N29" s="16"/>
      <c r="O29" s="17"/>
      <c r="P29" s="17"/>
      <c r="Q29" s="17"/>
      <c r="R29" s="7"/>
      <c r="S29" s="7"/>
      <c r="T29" s="7"/>
      <c r="U29" s="7"/>
      <c r="V29" s="7"/>
      <c r="W29" s="7"/>
      <c r="X29" s="7"/>
      <c r="Y29" s="7"/>
      <c r="Z29" s="7"/>
      <c r="AA29" s="7"/>
      <c r="AB29" s="7"/>
      <c r="AC29" s="7"/>
      <c r="AD29" s="7"/>
      <c r="AE29" s="7"/>
      <c r="AF29" s="7"/>
      <c r="AG29" s="7"/>
      <c r="AH29" s="7"/>
      <c r="AI29" s="7"/>
      <c r="AJ29" s="7"/>
      <c r="AK29" s="7"/>
      <c r="AL29" s="7"/>
      <c r="AM29" s="7"/>
      <c r="AN29" s="7"/>
      <c r="AO29" s="7"/>
      <c r="AP29" s="7"/>
      <c r="AQ29" s="7"/>
    </row>
    <row r="30" spans="1:43" x14ac:dyDescent="0.3">
      <c r="A30" s="23"/>
      <c r="B30" s="6"/>
      <c r="C30" s="6"/>
      <c r="D30" s="6"/>
      <c r="E30" s="6"/>
      <c r="F30" s="7"/>
      <c r="G30" s="7"/>
      <c r="H30" s="6"/>
      <c r="I30" s="6"/>
      <c r="J30" s="6"/>
      <c r="K30" s="7"/>
      <c r="L30" s="16"/>
      <c r="M30" s="16"/>
      <c r="N30" s="16"/>
      <c r="O30" s="17"/>
      <c r="P30" s="17"/>
      <c r="Q30" s="17"/>
      <c r="R30" s="7"/>
      <c r="S30" s="7"/>
      <c r="T30" s="7"/>
      <c r="U30" s="7"/>
      <c r="V30" s="7"/>
      <c r="W30" s="7"/>
      <c r="X30" s="7"/>
      <c r="Y30" s="7"/>
      <c r="Z30" s="7"/>
      <c r="AA30" s="7"/>
      <c r="AB30" s="7"/>
      <c r="AC30" s="7"/>
      <c r="AD30" s="7"/>
      <c r="AE30" s="7"/>
      <c r="AF30" s="7"/>
      <c r="AG30" s="7"/>
      <c r="AH30" s="7"/>
      <c r="AI30" s="7"/>
      <c r="AJ30" s="7"/>
      <c r="AK30" s="7"/>
      <c r="AL30" s="7"/>
      <c r="AM30" s="7"/>
      <c r="AN30" s="7"/>
      <c r="AO30" s="7"/>
      <c r="AP30" s="7"/>
      <c r="AQ30" s="7"/>
    </row>
    <row r="31" spans="1:43" x14ac:dyDescent="0.3">
      <c r="A31" s="23"/>
      <c r="B31" s="6"/>
      <c r="C31" s="6"/>
      <c r="D31" s="6"/>
      <c r="E31" s="6"/>
      <c r="F31" s="7"/>
      <c r="G31" s="7"/>
      <c r="H31" s="6"/>
      <c r="I31" s="6"/>
      <c r="J31" s="6"/>
      <c r="K31" s="7"/>
      <c r="L31" s="16"/>
      <c r="M31" s="16"/>
      <c r="N31" s="16"/>
      <c r="O31" s="17"/>
      <c r="P31" s="17"/>
      <c r="Q31" s="17"/>
      <c r="R31" s="7"/>
      <c r="S31" s="7"/>
      <c r="T31" s="7"/>
      <c r="U31" s="7"/>
      <c r="V31" s="7"/>
      <c r="W31" s="7"/>
      <c r="X31" s="7"/>
      <c r="Y31" s="7"/>
      <c r="Z31" s="7"/>
      <c r="AA31" s="7"/>
      <c r="AB31" s="7"/>
      <c r="AC31" s="7"/>
      <c r="AD31" s="7"/>
      <c r="AE31" s="7"/>
      <c r="AF31" s="7"/>
      <c r="AG31" s="7"/>
      <c r="AH31" s="7"/>
      <c r="AI31" s="7"/>
      <c r="AJ31" s="7"/>
      <c r="AK31" s="7"/>
      <c r="AL31" s="7"/>
      <c r="AM31" s="7"/>
      <c r="AN31" s="7"/>
      <c r="AO31" s="7"/>
      <c r="AP31" s="7"/>
      <c r="AQ31" s="7"/>
    </row>
    <row r="32" spans="1:43" x14ac:dyDescent="0.3">
      <c r="A32" s="23"/>
      <c r="B32" s="6"/>
      <c r="C32" s="6"/>
      <c r="D32" s="6"/>
      <c r="E32" s="6"/>
      <c r="F32" s="7"/>
      <c r="G32" s="7"/>
      <c r="H32" s="6"/>
      <c r="I32" s="6"/>
      <c r="J32" s="6"/>
      <c r="K32" s="7"/>
      <c r="L32" s="16"/>
      <c r="M32" s="16"/>
      <c r="N32" s="16"/>
      <c r="O32" s="17"/>
      <c r="P32" s="17"/>
      <c r="Q32" s="17"/>
      <c r="R32" s="7"/>
      <c r="S32" s="7"/>
      <c r="T32" s="7"/>
      <c r="U32" s="7"/>
      <c r="V32" s="7"/>
      <c r="W32" s="7"/>
      <c r="X32" s="7"/>
      <c r="Y32" s="7"/>
      <c r="Z32" s="7"/>
      <c r="AA32" s="7"/>
      <c r="AB32" s="7"/>
      <c r="AC32" s="7"/>
      <c r="AD32" s="7"/>
      <c r="AE32" s="7"/>
      <c r="AF32" s="7"/>
      <c r="AG32" s="7"/>
      <c r="AH32" s="7"/>
      <c r="AI32" s="7"/>
      <c r="AJ32" s="7"/>
      <c r="AK32" s="7"/>
      <c r="AL32" s="7"/>
      <c r="AM32" s="7"/>
      <c r="AN32" s="7"/>
      <c r="AO32" s="7"/>
      <c r="AP32" s="7"/>
      <c r="AQ32" s="7"/>
    </row>
    <row r="33" spans="1:43" x14ac:dyDescent="0.3">
      <c r="A33" s="23"/>
      <c r="B33" s="6"/>
      <c r="C33" s="6"/>
      <c r="D33" s="6"/>
      <c r="E33" s="6"/>
      <c r="F33" s="7"/>
      <c r="G33" s="7"/>
      <c r="H33" s="6"/>
      <c r="I33" s="6"/>
      <c r="J33" s="6"/>
      <c r="K33" s="7"/>
      <c r="L33" s="16"/>
      <c r="M33" s="16"/>
      <c r="N33" s="16"/>
      <c r="O33" s="17"/>
      <c r="P33" s="17"/>
      <c r="Q33" s="17"/>
      <c r="R33" s="7"/>
      <c r="S33" s="7"/>
      <c r="T33" s="7"/>
      <c r="U33" s="7"/>
      <c r="V33" s="7"/>
      <c r="W33" s="7"/>
      <c r="X33" s="7"/>
      <c r="Y33" s="7"/>
      <c r="Z33" s="7"/>
      <c r="AA33" s="7"/>
      <c r="AB33" s="7"/>
      <c r="AC33" s="7"/>
      <c r="AD33" s="7"/>
      <c r="AE33" s="7"/>
      <c r="AF33" s="7"/>
      <c r="AG33" s="7"/>
      <c r="AH33" s="7"/>
      <c r="AI33" s="7"/>
      <c r="AJ33" s="7"/>
      <c r="AK33" s="7"/>
      <c r="AL33" s="7"/>
      <c r="AM33" s="7"/>
      <c r="AN33" s="7"/>
      <c r="AO33" s="7"/>
      <c r="AP33" s="7"/>
      <c r="AQ33" s="7"/>
    </row>
    <row r="34" spans="1:43" x14ac:dyDescent="0.3">
      <c r="A34" s="23"/>
      <c r="B34" s="6"/>
      <c r="C34" s="6"/>
      <c r="D34" s="6"/>
      <c r="E34" s="6"/>
      <c r="F34" s="7"/>
      <c r="G34" s="7"/>
      <c r="H34" s="6"/>
      <c r="I34" s="6"/>
      <c r="J34" s="6"/>
      <c r="K34" s="7"/>
      <c r="L34" s="16"/>
      <c r="M34" s="16"/>
      <c r="N34" s="16"/>
      <c r="O34" s="17"/>
      <c r="P34" s="17"/>
      <c r="Q34" s="17"/>
      <c r="R34" s="7"/>
      <c r="S34" s="7"/>
      <c r="T34" s="7"/>
      <c r="U34" s="7"/>
      <c r="V34" s="7"/>
      <c r="W34" s="7"/>
      <c r="X34" s="7"/>
      <c r="Y34" s="7"/>
      <c r="Z34" s="7"/>
      <c r="AA34" s="7"/>
      <c r="AB34" s="7"/>
      <c r="AC34" s="7"/>
      <c r="AD34" s="7"/>
      <c r="AE34" s="7"/>
      <c r="AF34" s="7"/>
      <c r="AG34" s="7"/>
      <c r="AH34" s="7"/>
      <c r="AI34" s="7"/>
      <c r="AJ34" s="7"/>
      <c r="AK34" s="7"/>
      <c r="AL34" s="7"/>
      <c r="AM34" s="7"/>
      <c r="AN34" s="7"/>
      <c r="AO34" s="7"/>
      <c r="AP34" s="7"/>
      <c r="AQ34" s="7"/>
    </row>
    <row r="35" spans="1:43" x14ac:dyDescent="0.3">
      <c r="A35" s="23"/>
      <c r="B35" s="6"/>
      <c r="C35" s="6"/>
      <c r="D35" s="6"/>
      <c r="E35" s="6"/>
      <c r="F35" s="7"/>
      <c r="G35" s="7"/>
      <c r="H35" s="6"/>
      <c r="I35" s="6"/>
      <c r="J35" s="6"/>
      <c r="K35" s="7"/>
      <c r="L35" s="16"/>
      <c r="M35" s="16"/>
      <c r="N35" s="16"/>
      <c r="O35" s="17"/>
      <c r="P35" s="17"/>
      <c r="Q35" s="17"/>
      <c r="R35" s="7"/>
      <c r="S35" s="7"/>
      <c r="T35" s="7"/>
      <c r="U35" s="7"/>
      <c r="V35" s="7"/>
      <c r="W35" s="7"/>
      <c r="X35" s="7"/>
      <c r="Y35" s="7"/>
      <c r="Z35" s="7"/>
      <c r="AA35" s="7"/>
      <c r="AB35" s="7"/>
      <c r="AC35" s="7"/>
      <c r="AD35" s="7"/>
      <c r="AE35" s="7"/>
      <c r="AF35" s="7"/>
      <c r="AG35" s="7"/>
      <c r="AH35" s="7"/>
      <c r="AI35" s="7"/>
      <c r="AJ35" s="7"/>
      <c r="AK35" s="7"/>
      <c r="AL35" s="7"/>
      <c r="AM35" s="7"/>
      <c r="AN35" s="7"/>
      <c r="AO35" s="7"/>
      <c r="AP35" s="7"/>
      <c r="AQ35" s="7"/>
    </row>
    <row r="36" spans="1:43" x14ac:dyDescent="0.3">
      <c r="A36" s="23"/>
      <c r="B36" s="6"/>
      <c r="C36" s="6"/>
      <c r="D36" s="6"/>
      <c r="E36" s="6"/>
      <c r="F36" s="7"/>
      <c r="G36" s="7"/>
      <c r="H36" s="6"/>
      <c r="I36" s="6"/>
      <c r="J36" s="6"/>
      <c r="K36" s="7"/>
      <c r="L36" s="16"/>
      <c r="M36" s="16"/>
      <c r="N36" s="16"/>
      <c r="O36" s="17"/>
      <c r="P36" s="17"/>
      <c r="Q36" s="17"/>
      <c r="R36" s="7"/>
      <c r="S36" s="7"/>
      <c r="T36" s="7"/>
      <c r="U36" s="7"/>
      <c r="V36" s="7"/>
      <c r="W36" s="7"/>
      <c r="X36" s="7"/>
      <c r="Y36" s="7"/>
      <c r="Z36" s="7"/>
      <c r="AA36" s="7"/>
      <c r="AB36" s="7"/>
      <c r="AC36" s="7"/>
      <c r="AD36" s="7"/>
      <c r="AE36" s="7"/>
      <c r="AF36" s="7"/>
      <c r="AG36" s="7"/>
      <c r="AH36" s="7"/>
      <c r="AI36" s="7"/>
      <c r="AJ36" s="7"/>
      <c r="AK36" s="7"/>
      <c r="AL36" s="7"/>
      <c r="AM36" s="7"/>
      <c r="AN36" s="7"/>
      <c r="AO36" s="7"/>
      <c r="AP36" s="7"/>
      <c r="AQ36" s="7"/>
    </row>
    <row r="37" spans="1:43" x14ac:dyDescent="0.3">
      <c r="A37" s="23"/>
      <c r="B37" s="6"/>
      <c r="C37" s="6"/>
      <c r="D37" s="6"/>
      <c r="E37" s="6"/>
      <c r="F37" s="7"/>
      <c r="G37" s="7"/>
      <c r="H37" s="6"/>
      <c r="I37" s="6"/>
      <c r="J37" s="6"/>
      <c r="K37" s="7"/>
      <c r="L37" s="16"/>
      <c r="M37" s="16"/>
      <c r="N37" s="16"/>
      <c r="O37" s="17"/>
      <c r="P37" s="17"/>
      <c r="Q37" s="17"/>
      <c r="R37" s="7"/>
      <c r="S37" s="7"/>
      <c r="T37" s="7"/>
      <c r="U37" s="7"/>
      <c r="V37" s="7"/>
      <c r="W37" s="7"/>
      <c r="X37" s="7"/>
      <c r="Y37" s="7"/>
      <c r="Z37" s="7"/>
      <c r="AA37" s="7"/>
      <c r="AB37" s="7"/>
      <c r="AC37" s="7"/>
      <c r="AD37" s="7"/>
      <c r="AE37" s="7"/>
      <c r="AF37" s="7"/>
      <c r="AG37" s="7"/>
      <c r="AH37" s="7"/>
      <c r="AI37" s="7"/>
      <c r="AJ37" s="7"/>
      <c r="AK37" s="7"/>
      <c r="AL37" s="7"/>
      <c r="AM37" s="7"/>
      <c r="AN37" s="7"/>
      <c r="AO37" s="7"/>
      <c r="AP37" s="7"/>
      <c r="AQ37" s="7"/>
    </row>
  </sheetData>
  <sheetProtection algorithmName="SHA-512" hashValue="M3rZ9yuYy61vH5CvZTEzWmu6qCVPIRRXsBcFL7xkbfNpshRZNRnUO6iFt6biPpmO6113SQ9Mb59fRXeJqotu4A==" saltValue="sNmbyejM/PFcxL2odnuOAQ==" spinCount="100000" sheet="1" objects="1" scenarios="1" selectLockedCells="1"/>
  <mergeCells count="1">
    <mergeCell ref="C13:F15"/>
  </mergeCells>
  <conditionalFormatting sqref="C2">
    <cfRule type="expression" dxfId="18" priority="3">
      <formula>$C$2=""</formula>
    </cfRule>
  </conditionalFormatting>
  <conditionalFormatting sqref="C7">
    <cfRule type="expression" dxfId="17" priority="1" stopIfTrue="1">
      <formula>$C$7=""</formula>
    </cfRule>
    <cfRule type="expression" dxfId="16" priority="2">
      <formula>OR(AND($C$5&lt;&gt;"-",$C$7&lt;$C$5),AND($E$5&lt;&gt;"-",$C$7&gt;$E$5))</formula>
    </cfRule>
  </conditionalFormatting>
  <dataValidations count="4">
    <dataValidation type="list" allowBlank="1" showInputMessage="1" showErrorMessage="1" sqref="D2">
      <formula1>Lens</formula1>
    </dataValidation>
    <dataValidation type="decimal" allowBlank="1" showInputMessage="1" showErrorMessage="1" sqref="C8:D8 H8:I8">
      <formula1>C6</formula1>
      <formula2>E6</formula2>
    </dataValidation>
    <dataValidation type="list" allowBlank="1" showInputMessage="1" showErrorMessage="1" sqref="C2">
      <formula1>$Q$2:$Q$5</formula1>
    </dataValidation>
    <dataValidation type="list" allowBlank="1" showInputMessage="1" showErrorMessage="1" sqref="D10 D7">
      <formula1>$X$11:$X$15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AQ37"/>
  <sheetViews>
    <sheetView zoomScaleNormal="100" workbookViewId="0">
      <selection activeCell="C2" sqref="C2"/>
    </sheetView>
  </sheetViews>
  <sheetFormatPr defaultRowHeight="14.4" x14ac:dyDescent="0.3"/>
  <cols>
    <col min="1" max="1" width="27.33203125" style="24" customWidth="1"/>
    <col min="2" max="2" width="1.5546875" style="8" bestFit="1" customWidth="1"/>
    <col min="3" max="3" width="10.21875" style="8" customWidth="1"/>
    <col min="4" max="4" width="6.109375" style="8" bestFit="1" customWidth="1"/>
    <col min="5" max="5" width="10.21875" style="8" customWidth="1"/>
    <col min="6" max="6" width="6.109375" style="8" bestFit="1" customWidth="1"/>
    <col min="7" max="7" width="6.21875" style="8" customWidth="1"/>
    <col min="8" max="8" width="10.33203125" style="15" hidden="1" customWidth="1"/>
    <col min="9" max="9" width="2.5546875" style="15" hidden="1" customWidth="1"/>
    <col min="10" max="10" width="7.21875" style="15" hidden="1" customWidth="1"/>
    <col min="11" max="11" width="8.88671875" style="8" hidden="1" customWidth="1"/>
    <col min="12" max="12" width="3.6640625" style="15" hidden="1" customWidth="1"/>
    <col min="13" max="13" width="4.77734375" style="15" hidden="1" customWidth="1"/>
    <col min="14" max="14" width="4.5546875" style="15" hidden="1" customWidth="1"/>
    <col min="15" max="16" width="12" style="8" hidden="1" customWidth="1"/>
    <col min="17" max="17" width="3.6640625" style="8" hidden="1" customWidth="1"/>
    <col min="18" max="18" width="4.5546875" style="8" hidden="1" customWidth="1"/>
    <col min="19" max="19" width="5" style="8" hidden="1" customWidth="1"/>
    <col min="20" max="21" width="12" style="8" hidden="1" customWidth="1"/>
    <col min="22" max="28" width="8.88671875" style="8" hidden="1" customWidth="1"/>
    <col min="29" max="16384" width="8.88671875" style="8"/>
  </cols>
  <sheetData>
    <row r="1" spans="1:43" x14ac:dyDescent="0.3">
      <c r="A1" s="22"/>
      <c r="B1" s="4"/>
      <c r="C1" s="4"/>
      <c r="D1" s="4"/>
      <c r="E1" s="4"/>
      <c r="F1" s="4"/>
      <c r="G1" s="4"/>
      <c r="H1" s="5"/>
      <c r="I1" s="5"/>
      <c r="J1" s="5"/>
      <c r="K1" s="5"/>
      <c r="L1" s="6"/>
      <c r="M1" s="6"/>
      <c r="N1" s="6"/>
      <c r="O1" s="7"/>
      <c r="P1" s="7"/>
      <c r="Q1" s="6"/>
      <c r="R1" s="6"/>
      <c r="S1" s="6"/>
      <c r="T1" s="6" t="s">
        <v>10</v>
      </c>
      <c r="U1" s="6" t="s">
        <v>11</v>
      </c>
      <c r="V1" s="7"/>
      <c r="W1" s="7"/>
      <c r="X1" s="7"/>
      <c r="Y1" s="31" t="s">
        <v>10</v>
      </c>
      <c r="Z1" s="31"/>
      <c r="AA1" s="31" t="s">
        <v>11</v>
      </c>
      <c r="AB1" s="31"/>
      <c r="AC1" s="7"/>
      <c r="AD1" s="7"/>
      <c r="AE1" s="7"/>
      <c r="AF1" s="7"/>
      <c r="AG1" s="7"/>
      <c r="AH1" s="7"/>
      <c r="AI1" s="7"/>
      <c r="AJ1" s="7"/>
      <c r="AK1" s="7"/>
      <c r="AL1" s="7"/>
      <c r="AM1" s="7"/>
      <c r="AN1" s="7"/>
      <c r="AO1" s="7"/>
      <c r="AP1" s="7"/>
      <c r="AQ1" s="7"/>
    </row>
    <row r="2" spans="1:43" x14ac:dyDescent="0.3">
      <c r="A2" s="22" t="s">
        <v>1</v>
      </c>
      <c r="B2" s="4" t="s">
        <v>3</v>
      </c>
      <c r="C2" s="2" t="s">
        <v>4</v>
      </c>
      <c r="D2" s="5"/>
      <c r="E2" s="5"/>
      <c r="F2" s="4"/>
      <c r="G2" s="4"/>
      <c r="H2" s="5" t="s">
        <v>35</v>
      </c>
      <c r="I2" s="5"/>
      <c r="J2" s="5" t="s">
        <v>35</v>
      </c>
      <c r="K2" s="5"/>
      <c r="L2" s="6"/>
      <c r="M2" s="9"/>
      <c r="N2" s="9"/>
      <c r="O2" s="7"/>
      <c r="P2" s="7" t="str">
        <f>IF(AND($H$7&gt;=$R2,$H$7&lt;=$S2),"OK","Not valid")</f>
        <v>OK</v>
      </c>
      <c r="Q2" s="6" t="s">
        <v>25</v>
      </c>
      <c r="R2" s="9">
        <v>2.5</v>
      </c>
      <c r="S2" s="9">
        <v>4.5</v>
      </c>
      <c r="T2" s="6">
        <f>H7*Y2+Z2</f>
        <v>4.6575100715963451</v>
      </c>
      <c r="U2" s="6">
        <f>H7*AA2+AB2</f>
        <v>4.420396781343837</v>
      </c>
      <c r="V2" s="7"/>
      <c r="W2" s="7"/>
      <c r="X2" s="7"/>
      <c r="Y2" s="31">
        <v>1.47333114312757</v>
      </c>
      <c r="Z2" s="31">
        <v>-0.49914892935014998</v>
      </c>
      <c r="AA2" s="31">
        <v>1.4674270120019799</v>
      </c>
      <c r="AB2" s="31">
        <v>-0.715597760663092</v>
      </c>
      <c r="AC2" s="7"/>
      <c r="AD2" s="7"/>
      <c r="AE2" s="7"/>
      <c r="AF2" s="7"/>
      <c r="AG2" s="7"/>
      <c r="AH2" s="7"/>
      <c r="AI2" s="7"/>
      <c r="AJ2" s="7"/>
      <c r="AK2" s="7"/>
      <c r="AL2" s="7"/>
      <c r="AM2" s="7"/>
      <c r="AN2" s="7"/>
      <c r="AO2" s="7"/>
      <c r="AP2" s="7"/>
      <c r="AQ2" s="7"/>
    </row>
    <row r="3" spans="1:43" x14ac:dyDescent="0.3">
      <c r="A3" s="22"/>
      <c r="B3" s="4"/>
      <c r="C3" s="5"/>
      <c r="D3" s="5"/>
      <c r="E3" s="5"/>
      <c r="F3" s="4"/>
      <c r="G3" s="4"/>
      <c r="H3" s="5"/>
      <c r="I3" s="5" t="s">
        <v>35</v>
      </c>
      <c r="J3" s="5"/>
      <c r="K3" s="5" t="s">
        <v>35</v>
      </c>
      <c r="L3" s="6"/>
      <c r="M3" s="9"/>
      <c r="N3" s="9"/>
      <c r="O3" s="7"/>
      <c r="P3" s="7" t="str">
        <f t="shared" ref="P3:P5" si="0">IF(AND($H$7&gt;=$R3,$H$7&lt;=$S3),"OK","Not valid")</f>
        <v>OK</v>
      </c>
      <c r="Q3" s="6" t="s">
        <v>4</v>
      </c>
      <c r="R3" s="9">
        <v>2.2000000000000002</v>
      </c>
      <c r="S3" s="9">
        <v>4.8</v>
      </c>
      <c r="T3" s="6">
        <f>H7*Y3+Z3</f>
        <v>3.2457883365</v>
      </c>
      <c r="U3" s="6">
        <f>H7*AA3+AB3</f>
        <v>3.0574877535000002</v>
      </c>
      <c r="V3" s="7"/>
      <c r="W3" s="7"/>
      <c r="X3" s="7"/>
      <c r="Y3" s="31">
        <v>0.97923139699999995</v>
      </c>
      <c r="Z3" s="31">
        <v>-0.181521553</v>
      </c>
      <c r="AA3" s="31">
        <v>0.97902782300000002</v>
      </c>
      <c r="AB3" s="31">
        <v>-0.369109627</v>
      </c>
      <c r="AC3" s="7"/>
      <c r="AD3" s="7"/>
      <c r="AE3" s="7"/>
      <c r="AF3" s="7"/>
      <c r="AG3" s="7"/>
      <c r="AH3" s="7"/>
      <c r="AI3" s="7"/>
      <c r="AJ3" s="7"/>
      <c r="AK3" s="7"/>
      <c r="AL3" s="7"/>
      <c r="AM3" s="7"/>
      <c r="AN3" s="7"/>
      <c r="AO3" s="7"/>
      <c r="AP3" s="7"/>
      <c r="AQ3" s="7"/>
    </row>
    <row r="4" spans="1:43" x14ac:dyDescent="0.3">
      <c r="A4" s="22"/>
      <c r="B4" s="4"/>
      <c r="C4" s="5" t="s">
        <v>6</v>
      </c>
      <c r="D4" s="5"/>
      <c r="E4" s="5" t="s">
        <v>7</v>
      </c>
      <c r="F4" s="4"/>
      <c r="G4" s="4"/>
      <c r="H4" s="5" t="s">
        <v>6</v>
      </c>
      <c r="I4" s="5"/>
      <c r="J4" s="5" t="s">
        <v>7</v>
      </c>
      <c r="K4" s="4"/>
      <c r="L4" s="6"/>
      <c r="M4" s="6"/>
      <c r="N4" s="6"/>
      <c r="O4" s="7"/>
      <c r="P4" s="7" t="str">
        <f t="shared" si="0"/>
        <v>OK</v>
      </c>
      <c r="Q4" s="6" t="s">
        <v>26</v>
      </c>
      <c r="R4" s="6">
        <v>3.5</v>
      </c>
      <c r="S4" s="6">
        <v>7.5</v>
      </c>
      <c r="T4" s="6">
        <f>H7*Y4+Z4</f>
        <v>2.0024796998924619</v>
      </c>
      <c r="U4" s="6">
        <f>H7*AA4+AB4</f>
        <v>1.8516042214412343</v>
      </c>
      <c r="V4" s="7"/>
      <c r="W4" s="7"/>
      <c r="X4" s="7"/>
      <c r="Y4" s="31">
        <v>0.61772714746243396</v>
      </c>
      <c r="Z4" s="31">
        <v>-0.15956531622605699</v>
      </c>
      <c r="AA4" s="31">
        <v>0.62152048363024504</v>
      </c>
      <c r="AB4" s="31">
        <v>-0.32371747126462302</v>
      </c>
      <c r="AC4" s="7"/>
      <c r="AD4" s="7"/>
      <c r="AE4" s="7"/>
      <c r="AF4" s="7"/>
      <c r="AG4" s="7"/>
      <c r="AH4" s="7"/>
      <c r="AI4" s="7"/>
      <c r="AJ4" s="7"/>
      <c r="AK4" s="7"/>
      <c r="AL4" s="7"/>
      <c r="AM4" s="7"/>
      <c r="AN4" s="7"/>
      <c r="AO4" s="7"/>
      <c r="AP4" s="7"/>
      <c r="AQ4" s="7"/>
    </row>
    <row r="5" spans="1:43" x14ac:dyDescent="0.3">
      <c r="A5" s="22" t="s">
        <v>5</v>
      </c>
      <c r="B5" s="4" t="s">
        <v>3</v>
      </c>
      <c r="C5" s="10">
        <f>IF($C$2&lt;&gt;"",$H$5*VLOOKUP($D7,X11:Z15,3,FALSE),"-")</f>
        <v>2.2000000000000002</v>
      </c>
      <c r="D5" s="11" t="s">
        <v>21</v>
      </c>
      <c r="E5" s="10">
        <f>IF($C$2&lt;&gt;"",$J$5*VLOOKUP($D7,X11:Z15,3,FALSE),"-")</f>
        <v>4.8</v>
      </c>
      <c r="F5" s="12"/>
      <c r="G5" s="4"/>
      <c r="H5" s="10">
        <f>IF($C$2&lt;&gt;"",VLOOKUP($C$2,$Q$2:$U$5,2,FALSE),"")</f>
        <v>2.2000000000000002</v>
      </c>
      <c r="I5" s="11" t="s">
        <v>21</v>
      </c>
      <c r="J5" s="10">
        <f>IF($C$2&lt;&gt;"",VLOOKUP(C2,$Q$2:$U$5,3,FALSE),"")</f>
        <v>4.8</v>
      </c>
      <c r="K5" s="4" t="s">
        <v>13</v>
      </c>
      <c r="L5" s="6"/>
      <c r="M5" s="6"/>
      <c r="N5" s="6"/>
      <c r="O5" s="7"/>
      <c r="P5" s="7" t="str">
        <f t="shared" si="0"/>
        <v>Not valid</v>
      </c>
      <c r="Q5" s="6" t="s">
        <v>24</v>
      </c>
      <c r="R5" s="6">
        <v>7</v>
      </c>
      <c r="S5" s="6">
        <v>15.5</v>
      </c>
      <c r="T5" s="6">
        <f>H7*Y5+Z5</f>
        <v>0.92410616499999998</v>
      </c>
      <c r="U5" s="6">
        <f>H7*AA5+AB5</f>
        <v>0.87403848399999995</v>
      </c>
      <c r="V5" s="7"/>
      <c r="W5" s="7"/>
      <c r="X5" s="7"/>
      <c r="Y5" s="31">
        <v>0.28538741000000001</v>
      </c>
      <c r="Z5" s="31">
        <v>-7.4749769999999993E-2</v>
      </c>
      <c r="AA5" s="31">
        <v>0.28890355000000001</v>
      </c>
      <c r="AB5" s="31">
        <v>-0.137123941</v>
      </c>
      <c r="AC5" s="7"/>
      <c r="AD5" s="7"/>
      <c r="AE5" s="7"/>
      <c r="AF5" s="7"/>
      <c r="AG5" s="7"/>
      <c r="AH5" s="7"/>
      <c r="AI5" s="7"/>
      <c r="AJ5" s="7"/>
      <c r="AK5" s="7"/>
      <c r="AL5" s="7"/>
      <c r="AM5" s="7"/>
      <c r="AN5" s="7"/>
      <c r="AO5" s="7"/>
      <c r="AP5" s="7"/>
      <c r="AQ5" s="7"/>
    </row>
    <row r="6" spans="1:43" x14ac:dyDescent="0.3">
      <c r="A6" s="22"/>
      <c r="B6" s="4"/>
      <c r="C6" s="5"/>
      <c r="D6" s="5"/>
      <c r="E6" s="5"/>
      <c r="F6" s="4"/>
      <c r="G6" s="4"/>
      <c r="H6" s="5"/>
      <c r="I6" s="5"/>
      <c r="J6" s="5"/>
      <c r="K6" s="4"/>
      <c r="L6" s="6"/>
      <c r="M6" s="6"/>
      <c r="N6" s="6"/>
      <c r="O6" s="7"/>
      <c r="P6" s="7"/>
      <c r="Q6" s="7"/>
      <c r="R6" s="7"/>
      <c r="S6" s="7"/>
      <c r="T6" s="7"/>
      <c r="U6" s="7"/>
      <c r="V6" s="7"/>
      <c r="W6" s="7"/>
      <c r="X6" s="7"/>
      <c r="Y6" s="7"/>
      <c r="Z6" s="7"/>
      <c r="AA6" s="7"/>
      <c r="AB6" s="7"/>
      <c r="AC6" s="7"/>
      <c r="AD6" s="7"/>
      <c r="AE6" s="7"/>
      <c r="AF6" s="7"/>
      <c r="AG6" s="7"/>
      <c r="AH6" s="7"/>
      <c r="AI6" s="7"/>
      <c r="AJ6" s="7"/>
      <c r="AK6" s="7"/>
      <c r="AL6" s="7"/>
      <c r="AM6" s="7"/>
      <c r="AN6" s="7"/>
      <c r="AO6" s="7"/>
      <c r="AP6" s="7"/>
      <c r="AQ6" s="7"/>
    </row>
    <row r="7" spans="1:43" x14ac:dyDescent="0.3">
      <c r="A7" s="22" t="s">
        <v>0</v>
      </c>
      <c r="B7" s="4" t="s">
        <v>3</v>
      </c>
      <c r="C7" s="3">
        <v>3.5</v>
      </c>
      <c r="D7" s="30" t="s">
        <v>13</v>
      </c>
      <c r="E7" s="12"/>
      <c r="F7" s="4"/>
      <c r="G7" s="4"/>
      <c r="H7" s="27">
        <f>IF(AND($C$2&lt;&gt;"", $C$7&lt;&gt;""),$C$7*VLOOKUP($D$7,$X$11:$Z$15,2,FALSE),"")</f>
        <v>3.5</v>
      </c>
      <c r="I7" s="12" t="s">
        <v>13</v>
      </c>
      <c r="J7" s="22" t="s">
        <v>41</v>
      </c>
      <c r="K7" s="12" t="b">
        <f>NOT(ISERROR(H7))</f>
        <v>1</v>
      </c>
      <c r="L7" s="6"/>
      <c r="M7" s="6"/>
      <c r="N7" s="6"/>
      <c r="O7" s="7"/>
      <c r="P7" s="7"/>
      <c r="Q7" s="7"/>
      <c r="R7" s="7"/>
      <c r="S7" s="7"/>
      <c r="T7" s="7"/>
      <c r="U7" s="7"/>
      <c r="V7" s="7"/>
      <c r="W7" s="7"/>
      <c r="X7" s="7"/>
      <c r="Y7" s="7"/>
      <c r="Z7" s="7"/>
      <c r="AA7" s="7"/>
      <c r="AB7" s="7"/>
      <c r="AC7" s="7"/>
      <c r="AD7" s="7"/>
      <c r="AE7" s="7"/>
      <c r="AF7" s="7"/>
      <c r="AG7" s="7"/>
      <c r="AH7" s="7"/>
      <c r="AI7" s="7"/>
      <c r="AJ7" s="7"/>
      <c r="AK7" s="7"/>
      <c r="AL7" s="7"/>
      <c r="AM7" s="7"/>
      <c r="AN7" s="7"/>
      <c r="AO7" s="7"/>
      <c r="AP7" s="7"/>
      <c r="AQ7" s="7"/>
    </row>
    <row r="8" spans="1:43" x14ac:dyDescent="0.3">
      <c r="A8" s="22"/>
      <c r="B8" s="4"/>
      <c r="C8" s="13"/>
      <c r="D8" s="13"/>
      <c r="E8" s="12"/>
      <c r="F8" s="4"/>
      <c r="G8" s="4"/>
      <c r="H8" s="13"/>
      <c r="I8" s="13"/>
      <c r="J8" s="22"/>
      <c r="K8" s="12"/>
      <c r="L8" s="6"/>
      <c r="M8" s="6"/>
      <c r="N8" s="6"/>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3">
      <c r="A9" s="22" t="s">
        <v>8</v>
      </c>
      <c r="B9" s="4" t="s">
        <v>3</v>
      </c>
      <c r="C9" s="3">
        <v>6.3</v>
      </c>
      <c r="D9" s="30" t="s">
        <v>13</v>
      </c>
      <c r="E9" s="12"/>
      <c r="F9" s="4"/>
      <c r="G9" s="4"/>
      <c r="H9" s="27">
        <f>IF(AND($C$2&lt;&gt;"", $C9&lt;&gt;""),$C9*VLOOKUP($D9,$X$11:$Z$15,2,FALSE),"")</f>
        <v>6.3</v>
      </c>
      <c r="I9" s="12" t="s">
        <v>13</v>
      </c>
      <c r="J9" s="22" t="s">
        <v>41</v>
      </c>
      <c r="K9" s="12" t="b">
        <f>NOT(ISERROR(H9))</f>
        <v>1</v>
      </c>
      <c r="L9" s="6"/>
      <c r="M9" s="6"/>
      <c r="N9" s="6"/>
      <c r="O9" s="7"/>
      <c r="P9" s="7"/>
      <c r="Q9" s="7"/>
      <c r="R9" s="7"/>
      <c r="S9" s="7"/>
      <c r="T9" s="7"/>
      <c r="U9" s="7"/>
      <c r="V9" s="7"/>
      <c r="W9" s="7"/>
      <c r="X9" s="7"/>
      <c r="Y9" s="7"/>
      <c r="Z9" s="7"/>
      <c r="AA9" s="7"/>
      <c r="AB9" s="7"/>
      <c r="AC9" s="7"/>
      <c r="AD9" s="7"/>
      <c r="AE9" s="7"/>
      <c r="AF9" s="7"/>
      <c r="AG9" s="7"/>
      <c r="AH9" s="7"/>
      <c r="AI9" s="7"/>
      <c r="AJ9" s="7"/>
      <c r="AK9" s="7"/>
      <c r="AL9" s="7"/>
      <c r="AM9" s="7"/>
      <c r="AN9" s="7"/>
      <c r="AO9" s="7"/>
      <c r="AP9" s="7"/>
      <c r="AQ9" s="7"/>
    </row>
    <row r="10" spans="1:43" x14ac:dyDescent="0.3">
      <c r="A10" s="22"/>
      <c r="B10" s="4"/>
      <c r="C10" s="13"/>
      <c r="D10" s="13"/>
      <c r="E10" s="5"/>
      <c r="F10" s="4"/>
      <c r="G10" s="4"/>
      <c r="H10" s="13"/>
      <c r="I10" s="13"/>
      <c r="J10" s="5"/>
      <c r="K10" s="4"/>
      <c r="L10" s="6"/>
      <c r="M10" s="6"/>
      <c r="N10" s="6"/>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row>
    <row r="11" spans="1:43" ht="15" thickBot="1" x14ac:dyDescent="0.35">
      <c r="A11" s="22"/>
      <c r="B11" s="4"/>
      <c r="C11" s="5"/>
      <c r="D11" s="5"/>
      <c r="E11" s="5"/>
      <c r="F11" s="4"/>
      <c r="G11" s="4"/>
      <c r="H11" s="5"/>
      <c r="I11" s="5"/>
      <c r="J11" s="5"/>
      <c r="K11" s="4"/>
      <c r="L11" s="6"/>
      <c r="M11" s="6"/>
      <c r="N11" s="6"/>
      <c r="O11" s="7"/>
      <c r="P11" s="7"/>
      <c r="Q11" s="7"/>
      <c r="R11" s="7"/>
      <c r="S11" s="7"/>
      <c r="T11" s="7"/>
      <c r="U11" s="7"/>
      <c r="V11" s="7"/>
      <c r="W11" s="7"/>
      <c r="X11" s="7" t="s">
        <v>31</v>
      </c>
      <c r="Y11" s="7">
        <v>1E-3</v>
      </c>
      <c r="Z11" s="7">
        <v>1000</v>
      </c>
      <c r="AA11" s="7"/>
      <c r="AB11" s="7"/>
      <c r="AC11" s="7"/>
      <c r="AD11" s="7"/>
      <c r="AE11" s="7"/>
      <c r="AF11" s="7"/>
      <c r="AG11" s="7"/>
      <c r="AH11" s="7"/>
      <c r="AI11" s="7"/>
      <c r="AJ11" s="7"/>
      <c r="AK11" s="7"/>
      <c r="AL11" s="7"/>
      <c r="AM11" s="7"/>
      <c r="AN11" s="7"/>
      <c r="AO11" s="7"/>
      <c r="AP11" s="7"/>
      <c r="AQ11" s="7"/>
    </row>
    <row r="12" spans="1:43" ht="15" thickBot="1" x14ac:dyDescent="0.35">
      <c r="A12" s="22" t="s">
        <v>9</v>
      </c>
      <c r="B12" s="4" t="s">
        <v>3</v>
      </c>
      <c r="C12" s="21">
        <f>IF($H$12&lt;&gt;"", $H$12,"-")</f>
        <v>2</v>
      </c>
      <c r="D12" s="5"/>
      <c r="E12" s="5"/>
      <c r="F12" s="4"/>
      <c r="G12" s="4"/>
      <c r="H12" s="21">
        <f>IF(AND(K7,K9),IF(AND($C$2&lt;&gt;"",C9&lt;&gt;"",$H$7&gt;=$H$5, $H$7&lt;=$J$5), IF(H9&lt;VLOOKUP(C2,$Q$2:$U$5,4,FALSE),1,CEILING((H9-VLOOKUP(C2,$Q$2:$U$5,4,FALSE))/VLOOKUP(C2,$Q$2:$U$5,5,FALSE)+1,1)),""),"")</f>
        <v>2</v>
      </c>
      <c r="I12" s="5"/>
      <c r="J12" s="5"/>
      <c r="K12" s="4"/>
      <c r="L12" s="6"/>
      <c r="M12" s="6"/>
      <c r="N12" s="6"/>
      <c r="O12" s="7"/>
      <c r="P12" s="7"/>
      <c r="Q12" s="7"/>
      <c r="R12" s="7"/>
      <c r="S12" s="7"/>
      <c r="T12" s="7"/>
      <c r="U12" s="7"/>
      <c r="V12" s="7"/>
      <c r="W12" s="7"/>
      <c r="X12" s="7" t="s">
        <v>32</v>
      </c>
      <c r="Y12" s="7">
        <v>0.01</v>
      </c>
      <c r="Z12" s="7">
        <v>100</v>
      </c>
      <c r="AA12" s="7"/>
      <c r="AB12" s="7"/>
      <c r="AC12" s="7"/>
      <c r="AD12" s="7"/>
      <c r="AE12" s="7"/>
      <c r="AF12" s="7"/>
      <c r="AG12" s="7"/>
      <c r="AH12" s="7"/>
      <c r="AI12" s="7"/>
      <c r="AJ12" s="7"/>
      <c r="AK12" s="7"/>
      <c r="AL12" s="7"/>
      <c r="AM12" s="7"/>
      <c r="AN12" s="7"/>
      <c r="AO12" s="7"/>
      <c r="AP12" s="7"/>
      <c r="AQ12" s="7"/>
    </row>
    <row r="13" spans="1:43" x14ac:dyDescent="0.3">
      <c r="A13" s="22"/>
      <c r="B13" s="4"/>
      <c r="C13" s="4"/>
      <c r="D13" s="4"/>
      <c r="E13" s="4"/>
      <c r="F13" s="4"/>
      <c r="G13" s="4"/>
      <c r="H13" s="5"/>
      <c r="I13" s="5"/>
      <c r="J13" s="5"/>
      <c r="K13" s="4"/>
      <c r="L13" s="6"/>
      <c r="M13" s="6"/>
      <c r="N13" s="6"/>
      <c r="O13" s="7"/>
      <c r="P13" s="7"/>
      <c r="Q13" s="7"/>
      <c r="R13" s="7"/>
      <c r="S13" s="7"/>
      <c r="T13" s="7"/>
      <c r="U13" s="7"/>
      <c r="V13" s="7"/>
      <c r="W13" s="7"/>
      <c r="X13" s="7" t="s">
        <v>13</v>
      </c>
      <c r="Y13" s="7">
        <v>1</v>
      </c>
      <c r="Z13" s="7">
        <v>1</v>
      </c>
      <c r="AA13" s="7"/>
      <c r="AB13" s="7"/>
      <c r="AC13" s="7"/>
      <c r="AD13" s="7"/>
      <c r="AE13" s="7"/>
      <c r="AF13" s="7"/>
      <c r="AG13" s="7"/>
      <c r="AH13" s="7"/>
      <c r="AI13" s="7"/>
      <c r="AJ13" s="7"/>
      <c r="AK13" s="7"/>
      <c r="AL13" s="7"/>
      <c r="AM13" s="7"/>
      <c r="AN13" s="7"/>
      <c r="AO13" s="7"/>
      <c r="AP13" s="7"/>
      <c r="AQ13" s="7"/>
    </row>
    <row r="14" spans="1:43" x14ac:dyDescent="0.3">
      <c r="A14" s="22"/>
      <c r="B14" s="4"/>
      <c r="C14" s="4"/>
      <c r="D14" s="4"/>
      <c r="E14" s="4"/>
      <c r="F14" s="4"/>
      <c r="G14" s="4"/>
      <c r="H14" s="5"/>
      <c r="I14" s="5"/>
      <c r="J14" s="5"/>
      <c r="K14" s="4"/>
      <c r="L14" s="6"/>
      <c r="M14" s="6"/>
      <c r="N14" s="6"/>
      <c r="O14" s="7"/>
      <c r="P14" s="7"/>
      <c r="Q14" s="7"/>
      <c r="R14" s="7"/>
      <c r="S14" s="7"/>
      <c r="T14" s="7"/>
      <c r="U14" s="7"/>
      <c r="V14" s="7"/>
      <c r="W14" s="7"/>
      <c r="X14" s="7" t="s">
        <v>33</v>
      </c>
      <c r="Y14" s="7">
        <v>0.30480000000000002</v>
      </c>
      <c r="Z14" s="7">
        <v>3.28084</v>
      </c>
      <c r="AA14" s="7"/>
      <c r="AB14" s="7"/>
      <c r="AC14" s="7"/>
      <c r="AD14" s="7"/>
      <c r="AE14" s="7"/>
      <c r="AF14" s="7"/>
      <c r="AG14" s="7"/>
      <c r="AH14" s="7"/>
      <c r="AI14" s="7"/>
      <c r="AJ14" s="7"/>
      <c r="AK14" s="7"/>
      <c r="AL14" s="7"/>
      <c r="AM14" s="7"/>
      <c r="AN14" s="7"/>
      <c r="AO14" s="7"/>
      <c r="AP14" s="7"/>
      <c r="AQ14" s="7"/>
    </row>
    <row r="15" spans="1:43" x14ac:dyDescent="0.3">
      <c r="A15" s="22" t="s">
        <v>36</v>
      </c>
      <c r="B15" s="5" t="s">
        <v>3</v>
      </c>
      <c r="C15" s="35" t="str">
        <f>IF(AND($C$2="",$C$7="",$C$9=""),"Choose a Lens Variant and enter a Mounting Height and Entrance Width",IF(AND($C$2="",$C$7=""),"Choose a Lens Variant and enter a Mounting Height",IF(AND($C$2="",$C$9=""),"Choose a Lens Variant and enter an Entrance Width",IF(AND($C$7="",$C$9=""),"Enter a Mounting Height and an Entrance Width",IF($C$2="","Choose a lens Variant",IF(NOT(K7),"Invalid entry for Mounting Height",IF($C$7="","Enter a Mounting Height",IF($H$7&gt;16,"Mounting Height too High for ANY lens Variant",IF($C$7&lt;$C$5,"Mounting Height too low for chosen Lens Variant",IF($C$7&gt;$E$5,"Mounting Height too high for chosen Lens Variant",IF($C$9="","Enter a Door Width",IF(NOT(K9),"Invalid entry for Door Width",IF(H12&gt;8,"Please speak to Irisys before implementing a wide opening network of more than 8 units","")))))))))))))</f>
        <v/>
      </c>
      <c r="D15" s="36"/>
      <c r="E15" s="36"/>
      <c r="F15" s="37"/>
      <c r="G15" s="4"/>
      <c r="H15" s="5"/>
      <c r="I15" s="5"/>
      <c r="J15" s="5"/>
      <c r="K15" s="4"/>
      <c r="L15" s="6"/>
      <c r="M15" s="6"/>
      <c r="N15" s="6"/>
      <c r="O15" s="7"/>
      <c r="P15" s="7"/>
      <c r="Q15" s="7"/>
      <c r="R15" s="7"/>
      <c r="S15" s="7"/>
      <c r="T15" s="7"/>
      <c r="U15" s="7"/>
      <c r="V15" s="7"/>
      <c r="W15" s="7"/>
      <c r="X15" s="7" t="s">
        <v>34</v>
      </c>
      <c r="Y15" s="7">
        <v>2.5399999999999999E-2</v>
      </c>
      <c r="Z15" s="7">
        <v>39.370100000000001</v>
      </c>
      <c r="AA15" s="7"/>
      <c r="AB15" s="7"/>
      <c r="AC15" s="7"/>
      <c r="AD15" s="7"/>
      <c r="AE15" s="7"/>
      <c r="AF15" s="7"/>
      <c r="AG15" s="7"/>
      <c r="AH15" s="7"/>
      <c r="AI15" s="7"/>
      <c r="AJ15" s="7"/>
      <c r="AK15" s="7"/>
      <c r="AL15" s="7"/>
      <c r="AM15" s="7"/>
      <c r="AN15" s="7"/>
      <c r="AO15" s="7"/>
      <c r="AP15" s="7"/>
      <c r="AQ15" s="7"/>
    </row>
    <row r="16" spans="1:43" x14ac:dyDescent="0.3">
      <c r="A16" s="22"/>
      <c r="B16" s="5"/>
      <c r="C16" s="38"/>
      <c r="D16" s="39"/>
      <c r="E16" s="39"/>
      <c r="F16" s="40"/>
      <c r="G16" s="4"/>
      <c r="H16" s="5"/>
      <c r="I16" s="5"/>
      <c r="J16" s="5"/>
      <c r="K16" s="4"/>
      <c r="L16" s="6"/>
      <c r="M16" s="6"/>
      <c r="N16" s="6"/>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x14ac:dyDescent="0.3">
      <c r="A17" s="22"/>
      <c r="B17" s="5"/>
      <c r="C17" s="41"/>
      <c r="D17" s="42"/>
      <c r="E17" s="42"/>
      <c r="F17" s="43"/>
      <c r="G17" s="4"/>
      <c r="H17" s="5"/>
      <c r="I17" s="5"/>
      <c r="J17" s="5"/>
      <c r="K17" s="4"/>
      <c r="L17" s="6"/>
      <c r="M17" s="6"/>
      <c r="N17" s="6"/>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x14ac:dyDescent="0.3">
      <c r="A18" s="23"/>
      <c r="B18" s="7"/>
      <c r="C18" s="7"/>
      <c r="D18" s="7"/>
      <c r="E18" s="7"/>
      <c r="F18" s="7"/>
      <c r="G18" s="7"/>
      <c r="H18" s="6"/>
      <c r="I18" s="6"/>
      <c r="J18" s="6"/>
      <c r="K18" s="7"/>
      <c r="L18" s="6"/>
      <c r="M18" s="6"/>
      <c r="N18" s="6"/>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x14ac:dyDescent="0.3">
      <c r="A19" s="23"/>
      <c r="B19" s="7"/>
      <c r="C19" s="7"/>
      <c r="D19" s="7"/>
      <c r="E19" s="7"/>
      <c r="F19" s="7"/>
      <c r="G19" s="7"/>
      <c r="H19" s="6"/>
      <c r="I19" s="6"/>
      <c r="J19" s="6"/>
      <c r="K19" s="7"/>
      <c r="L19" s="6"/>
      <c r="M19" s="6"/>
      <c r="N19" s="6"/>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x14ac:dyDescent="0.3">
      <c r="A20" s="23"/>
      <c r="B20" s="7"/>
      <c r="C20" s="7"/>
      <c r="D20" s="7"/>
      <c r="E20" s="7"/>
      <c r="F20" s="7"/>
      <c r="G20" s="7"/>
      <c r="H20" s="6"/>
      <c r="I20" s="6"/>
      <c r="J20" s="6"/>
      <c r="K20" s="7"/>
      <c r="L20" s="6"/>
      <c r="M20" s="6"/>
      <c r="N20" s="6"/>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x14ac:dyDescent="0.3">
      <c r="A21" s="23"/>
      <c r="B21" s="7"/>
      <c r="C21" s="7"/>
      <c r="D21" s="7"/>
      <c r="E21" s="7"/>
      <c r="F21" s="7"/>
      <c r="G21" s="7"/>
      <c r="H21" s="6"/>
      <c r="I21" s="6"/>
      <c r="J21" s="6"/>
      <c r="K21" s="7"/>
      <c r="L21" s="6"/>
      <c r="M21" s="6"/>
      <c r="N21" s="6"/>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x14ac:dyDescent="0.3">
      <c r="A22" s="23"/>
      <c r="B22" s="7"/>
      <c r="C22" s="7"/>
      <c r="D22" s="7"/>
      <c r="E22" s="7"/>
      <c r="F22" s="7"/>
      <c r="G22" s="7"/>
      <c r="H22" s="6"/>
      <c r="I22" s="6"/>
      <c r="J22" s="6"/>
      <c r="K22" s="7"/>
      <c r="L22" s="6"/>
      <c r="M22" s="6"/>
      <c r="N22" s="6"/>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row>
    <row r="23" spans="1:43" x14ac:dyDescent="0.3">
      <c r="A23" s="23"/>
      <c r="B23" s="7"/>
      <c r="C23" s="7"/>
      <c r="D23" s="7"/>
      <c r="E23" s="7"/>
      <c r="F23" s="7"/>
      <c r="G23" s="7"/>
      <c r="H23" s="6"/>
      <c r="I23" s="6"/>
      <c r="J23" s="6"/>
      <c r="K23" s="7"/>
      <c r="L23" s="6"/>
      <c r="M23" s="6"/>
      <c r="N23" s="6"/>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row>
    <row r="24" spans="1:43" x14ac:dyDescent="0.3">
      <c r="A24" s="23"/>
      <c r="B24" s="7"/>
      <c r="C24" s="7"/>
      <c r="D24" s="7"/>
      <c r="E24" s="7"/>
      <c r="F24" s="7"/>
      <c r="G24" s="7"/>
      <c r="H24" s="6"/>
      <c r="I24" s="6"/>
      <c r="J24" s="6"/>
      <c r="K24" s="7"/>
      <c r="L24" s="6"/>
      <c r="M24" s="6"/>
      <c r="N24" s="6"/>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row>
    <row r="25" spans="1:43" x14ac:dyDescent="0.3">
      <c r="A25" s="23"/>
      <c r="B25" s="7"/>
      <c r="C25" s="7"/>
      <c r="D25" s="7"/>
      <c r="E25" s="7"/>
      <c r="F25" s="7"/>
      <c r="G25" s="7"/>
      <c r="H25" s="6"/>
      <c r="I25" s="6"/>
      <c r="J25" s="6"/>
      <c r="K25" s="7"/>
      <c r="L25" s="6"/>
      <c r="M25" s="6"/>
      <c r="N25" s="6"/>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row>
    <row r="26" spans="1:43" x14ac:dyDescent="0.3">
      <c r="A26" s="23"/>
      <c r="B26" s="7"/>
      <c r="C26" s="7"/>
      <c r="D26" s="7"/>
      <c r="E26" s="7"/>
      <c r="F26" s="7"/>
      <c r="G26" s="7"/>
      <c r="H26" s="6"/>
      <c r="I26" s="6"/>
      <c r="J26" s="6"/>
      <c r="K26" s="7"/>
      <c r="L26" s="6"/>
      <c r="M26" s="6"/>
      <c r="N26" s="6"/>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row>
    <row r="27" spans="1:43" x14ac:dyDescent="0.3">
      <c r="A27" s="23"/>
      <c r="B27" s="7"/>
      <c r="C27" s="7"/>
      <c r="D27" s="7"/>
      <c r="E27" s="7"/>
      <c r="F27" s="7"/>
      <c r="G27" s="7"/>
      <c r="H27" s="6"/>
      <c r="I27" s="6"/>
      <c r="J27" s="6"/>
      <c r="K27" s="7"/>
      <c r="L27" s="6"/>
      <c r="M27" s="6"/>
      <c r="N27" s="6"/>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x14ac:dyDescent="0.3">
      <c r="A28" s="23"/>
      <c r="B28" s="7"/>
      <c r="C28" s="7"/>
      <c r="D28" s="7"/>
      <c r="E28" s="7"/>
      <c r="F28" s="7"/>
      <c r="G28" s="7"/>
      <c r="H28" s="6"/>
      <c r="I28" s="6"/>
      <c r="J28" s="6"/>
      <c r="K28" s="7"/>
      <c r="L28" s="6"/>
      <c r="M28" s="6"/>
      <c r="N28" s="6"/>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row>
    <row r="29" spans="1:43" x14ac:dyDescent="0.3">
      <c r="A29" s="23"/>
      <c r="B29" s="7"/>
      <c r="C29" s="7"/>
      <c r="D29" s="7"/>
      <c r="E29" s="7"/>
      <c r="F29" s="7"/>
      <c r="G29" s="7"/>
      <c r="H29" s="6"/>
      <c r="I29" s="6"/>
      <c r="J29" s="6"/>
      <c r="K29" s="7"/>
      <c r="L29" s="6"/>
      <c r="M29" s="6"/>
      <c r="N29" s="6"/>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row>
    <row r="30" spans="1:43" x14ac:dyDescent="0.3">
      <c r="A30" s="23"/>
      <c r="B30" s="7"/>
      <c r="C30" s="7"/>
      <c r="D30" s="7"/>
      <c r="E30" s="7"/>
      <c r="F30" s="7"/>
      <c r="G30" s="7"/>
      <c r="H30" s="6"/>
      <c r="I30" s="6"/>
      <c r="J30" s="6"/>
      <c r="K30" s="7"/>
      <c r="L30" s="6"/>
      <c r="M30" s="6"/>
      <c r="N30" s="6"/>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row>
    <row r="31" spans="1:43" x14ac:dyDescent="0.3">
      <c r="A31" s="23"/>
      <c r="B31" s="7"/>
      <c r="C31" s="7"/>
      <c r="D31" s="7"/>
      <c r="E31" s="7"/>
      <c r="F31" s="7"/>
      <c r="G31" s="7"/>
      <c r="H31" s="6"/>
      <c r="I31" s="6"/>
      <c r="J31" s="6"/>
      <c r="K31" s="7"/>
      <c r="L31" s="6"/>
      <c r="M31" s="6"/>
      <c r="N31" s="6"/>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row>
    <row r="32" spans="1:43" x14ac:dyDescent="0.3">
      <c r="A32" s="23"/>
      <c r="B32" s="7"/>
      <c r="C32" s="7"/>
      <c r="D32" s="7"/>
      <c r="E32" s="7"/>
      <c r="F32" s="7"/>
      <c r="G32" s="7"/>
      <c r="H32" s="6"/>
      <c r="I32" s="6"/>
      <c r="J32" s="6"/>
      <c r="K32" s="7"/>
      <c r="L32" s="6"/>
      <c r="M32" s="6"/>
      <c r="N32" s="6"/>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row>
    <row r="33" spans="1:43" x14ac:dyDescent="0.3">
      <c r="A33" s="23"/>
      <c r="B33" s="7"/>
      <c r="C33" s="7"/>
      <c r="D33" s="7"/>
      <c r="E33" s="7"/>
      <c r="F33" s="7"/>
      <c r="G33" s="7"/>
      <c r="H33" s="6"/>
      <c r="I33" s="6"/>
      <c r="J33" s="6"/>
      <c r="K33" s="7"/>
      <c r="L33" s="6"/>
      <c r="M33" s="6"/>
      <c r="N33" s="6"/>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row>
    <row r="34" spans="1:43" x14ac:dyDescent="0.3">
      <c r="A34" s="23"/>
      <c r="B34" s="7"/>
      <c r="C34" s="7"/>
      <c r="D34" s="7"/>
      <c r="E34" s="7"/>
      <c r="F34" s="7"/>
      <c r="G34" s="7"/>
      <c r="H34" s="6"/>
      <c r="I34" s="6"/>
      <c r="J34" s="6"/>
      <c r="K34" s="7"/>
      <c r="L34" s="6"/>
      <c r="M34" s="6"/>
      <c r="N34" s="6"/>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row>
    <row r="35" spans="1:43" x14ac:dyDescent="0.3">
      <c r="A35" s="23"/>
      <c r="B35" s="7"/>
      <c r="C35" s="7"/>
      <c r="D35" s="7"/>
      <c r="E35" s="7"/>
      <c r="F35" s="7"/>
      <c r="G35" s="7"/>
      <c r="H35" s="6"/>
      <c r="I35" s="6"/>
      <c r="J35" s="6"/>
      <c r="K35" s="7"/>
      <c r="L35" s="6"/>
      <c r="M35" s="6"/>
      <c r="N35" s="6"/>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row>
    <row r="36" spans="1:43" x14ac:dyDescent="0.3">
      <c r="A36" s="23"/>
      <c r="B36" s="7"/>
      <c r="C36" s="7"/>
      <c r="D36" s="7"/>
      <c r="E36" s="7"/>
      <c r="F36" s="7"/>
      <c r="G36" s="7"/>
      <c r="H36" s="6"/>
      <c r="I36" s="6"/>
      <c r="J36" s="6"/>
      <c r="K36" s="7"/>
      <c r="L36" s="6"/>
      <c r="M36" s="6"/>
      <c r="N36" s="6"/>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row>
    <row r="37" spans="1:43" x14ac:dyDescent="0.3">
      <c r="A37" s="23"/>
      <c r="B37" s="7"/>
      <c r="C37" s="7"/>
      <c r="D37" s="7"/>
      <c r="E37" s="7"/>
      <c r="F37" s="7"/>
      <c r="G37" s="7"/>
      <c r="H37" s="6"/>
      <c r="I37" s="6"/>
      <c r="J37" s="6"/>
      <c r="K37" s="7"/>
      <c r="L37" s="6"/>
      <c r="M37" s="6"/>
      <c r="N37" s="6"/>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row>
  </sheetData>
  <sheetProtection algorithmName="SHA-512" hashValue="vNgJIm7ZnOsPCwPR7P0sISnh2vc7oy2UEnHwj6PVypvidy+AP0zB5m0K14KbnzHRzI3OD9EXB9PUA18HnPtQAg==" saltValue="KDPQsWYRpukBazlH0ykwXw==" spinCount="100000" sheet="1" objects="1" scenarios="1" selectLockedCells="1"/>
  <mergeCells count="1">
    <mergeCell ref="C15:F17"/>
  </mergeCells>
  <conditionalFormatting sqref="C2">
    <cfRule type="expression" dxfId="15" priority="5">
      <formula>$C$2=""</formula>
    </cfRule>
  </conditionalFormatting>
  <conditionalFormatting sqref="C7">
    <cfRule type="expression" dxfId="14" priority="1" stopIfTrue="1">
      <formula>$C$7=""</formula>
    </cfRule>
    <cfRule type="expression" dxfId="13" priority="4">
      <formula>OR(AND($C$5&lt;&gt;"-",$C$7&lt;$C$5),AND($E$5&lt;&gt;"-",$C$7&gt;$E$5))</formula>
    </cfRule>
  </conditionalFormatting>
  <conditionalFormatting sqref="C9">
    <cfRule type="expression" dxfId="12" priority="3">
      <formula>$C$9=""</formula>
    </cfRule>
  </conditionalFormatting>
  <dataValidations count="4">
    <dataValidation type="list" allowBlank="1" showInputMessage="1" showErrorMessage="1" sqref="D2">
      <formula1>Lens</formula1>
    </dataValidation>
    <dataValidation type="decimal" allowBlank="1" showInputMessage="1" showErrorMessage="1" sqref="H10:I10 C10:D10 H8:I8 C8:D8">
      <formula1>C6</formula1>
      <formula2>E6</formula2>
    </dataValidation>
    <dataValidation type="list" allowBlank="1" showInputMessage="1" showErrorMessage="1" sqref="D7 D9">
      <formula1>$X$11:$X$15</formula1>
    </dataValidation>
    <dataValidation type="list" allowBlank="1" showInputMessage="1" showErrorMessage="1" sqref="C2">
      <formula1>$Q$2:$Q$5</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AU37"/>
  <sheetViews>
    <sheetView workbookViewId="0">
      <selection activeCell="C7" sqref="C7"/>
    </sheetView>
  </sheetViews>
  <sheetFormatPr defaultRowHeight="14.4" x14ac:dyDescent="0.3"/>
  <cols>
    <col min="1" max="1" width="27.33203125" style="24" customWidth="1"/>
    <col min="2" max="2" width="1.5546875" style="8" bestFit="1" customWidth="1"/>
    <col min="3" max="3" width="10.21875" style="8" customWidth="1"/>
    <col min="4" max="4" width="6.109375" style="8" bestFit="1" customWidth="1"/>
    <col min="5" max="5" width="10.21875" style="8" customWidth="1"/>
    <col min="6" max="6" width="6.109375" style="8" bestFit="1" customWidth="1"/>
    <col min="7" max="7" width="6.21875" style="8" customWidth="1"/>
    <col min="8" max="8" width="8.109375" style="15" hidden="1" customWidth="1"/>
    <col min="9" max="9" width="2.5546875" style="15" hidden="1" customWidth="1"/>
    <col min="10" max="10" width="7.21875" style="15" hidden="1" customWidth="1"/>
    <col min="11" max="12" width="8.88671875" style="8" hidden="1" customWidth="1"/>
    <col min="13" max="13" width="3.6640625" style="15" hidden="1" customWidth="1"/>
    <col min="14" max="15" width="4.5546875" style="15" hidden="1" customWidth="1"/>
    <col min="16" max="16" width="12" style="8" hidden="1" customWidth="1"/>
    <col min="17" max="17" width="3.6640625" style="8" hidden="1" customWidth="1"/>
    <col min="18" max="18" width="4.5546875" style="8" hidden="1" customWidth="1"/>
    <col min="19" max="19" width="5" style="8" hidden="1" customWidth="1"/>
    <col min="20" max="21" width="12" style="8" hidden="1" customWidth="1"/>
    <col min="22" max="27" width="8.88671875" style="8" hidden="1" customWidth="1"/>
    <col min="28" max="28" width="10.6640625" style="8" hidden="1" customWidth="1"/>
    <col min="29" max="32" width="8.88671875" style="8" hidden="1" customWidth="1"/>
    <col min="33" max="16384" width="8.88671875" style="8"/>
  </cols>
  <sheetData>
    <row r="1" spans="1:47" x14ac:dyDescent="0.3">
      <c r="A1" s="22"/>
      <c r="B1" s="4"/>
      <c r="C1" s="4"/>
      <c r="D1" s="4"/>
      <c r="E1" s="4"/>
      <c r="F1" s="4"/>
      <c r="G1" s="4"/>
      <c r="H1" s="5"/>
      <c r="I1" s="5"/>
      <c r="J1" s="5"/>
      <c r="K1" s="4"/>
      <c r="L1" s="4"/>
      <c r="M1" s="6"/>
      <c r="N1" s="6"/>
      <c r="O1" s="6"/>
      <c r="P1" s="7"/>
      <c r="Q1" s="6"/>
      <c r="R1" s="6"/>
      <c r="S1" s="6"/>
      <c r="T1" s="6" t="s">
        <v>10</v>
      </c>
      <c r="U1" s="6" t="s">
        <v>11</v>
      </c>
      <c r="V1" s="31" t="s">
        <v>10</v>
      </c>
      <c r="W1" s="31"/>
      <c r="X1" s="31" t="s">
        <v>11</v>
      </c>
      <c r="Y1" s="31"/>
      <c r="Z1" s="29" t="s">
        <v>27</v>
      </c>
      <c r="AA1" s="29" t="s">
        <v>6</v>
      </c>
      <c r="AB1" s="4" t="s">
        <v>28</v>
      </c>
      <c r="AC1" s="7" t="s">
        <v>14</v>
      </c>
      <c r="AD1" s="7" t="s">
        <v>15</v>
      </c>
      <c r="AE1" s="4" t="s">
        <v>17</v>
      </c>
      <c r="AF1" s="4" t="s">
        <v>29</v>
      </c>
      <c r="AG1" s="7"/>
      <c r="AH1" s="7"/>
      <c r="AI1" s="7"/>
      <c r="AJ1" s="7"/>
      <c r="AK1" s="7"/>
      <c r="AL1" s="7"/>
      <c r="AM1" s="7"/>
      <c r="AN1" s="7"/>
      <c r="AO1" s="7"/>
      <c r="AP1" s="7"/>
      <c r="AQ1" s="7"/>
      <c r="AR1" s="7"/>
      <c r="AS1" s="7"/>
      <c r="AT1" s="7"/>
      <c r="AU1" s="7"/>
    </row>
    <row r="2" spans="1:47" x14ac:dyDescent="0.3">
      <c r="A2" s="22" t="s">
        <v>1</v>
      </c>
      <c r="B2" s="4" t="s">
        <v>3</v>
      </c>
      <c r="C2" s="2" t="s">
        <v>25</v>
      </c>
      <c r="D2" s="32"/>
      <c r="E2" s="5"/>
      <c r="F2" s="5"/>
      <c r="G2" s="4"/>
      <c r="H2" s="5" t="s">
        <v>35</v>
      </c>
      <c r="I2" s="5"/>
      <c r="J2" s="5" t="s">
        <v>35</v>
      </c>
      <c r="K2" s="5"/>
      <c r="L2" s="4"/>
      <c r="M2" s="6"/>
      <c r="N2" s="9"/>
      <c r="O2" s="9"/>
      <c r="P2" s="7" t="str">
        <f>IF(AND($H$7&gt;=$R2,$H$7&lt;=$S2),"OK","Not valid")</f>
        <v>OK</v>
      </c>
      <c r="Q2" s="6" t="s">
        <v>25</v>
      </c>
      <c r="R2" s="9">
        <v>2.5</v>
      </c>
      <c r="S2" s="9">
        <v>4.5</v>
      </c>
      <c r="T2" s="6">
        <f>H7*V2+W2</f>
        <v>4.6575100715963451</v>
      </c>
      <c r="U2" s="6">
        <f>H7*X2+Y2</f>
        <v>4.420396781343837</v>
      </c>
      <c r="V2" s="31">
        <v>1.47333114312757</v>
      </c>
      <c r="W2" s="31">
        <v>-0.49914892935014998</v>
      </c>
      <c r="X2" s="31">
        <v>1.4674270120019799</v>
      </c>
      <c r="Y2" s="31">
        <v>-0.715597760663092</v>
      </c>
      <c r="Z2" s="7">
        <f>T2/2</f>
        <v>2.3287550357981726</v>
      </c>
      <c r="AA2" s="7">
        <f>Z2/100*(100-AB2)</f>
        <v>1.8630040286385379</v>
      </c>
      <c r="AB2" s="4">
        <v>20</v>
      </c>
      <c r="AC2" s="4">
        <f>IF(Z2&lt;1,1,Z2)</f>
        <v>2.3287550357981726</v>
      </c>
      <c r="AD2" s="4">
        <v>1</v>
      </c>
      <c r="AE2" s="4">
        <f>IF(AC2/100*(100-AF2)&lt;1,1,AC2/100*(100-AF2))</f>
        <v>1.5136907732688121</v>
      </c>
      <c r="AF2" s="4">
        <v>35</v>
      </c>
      <c r="AG2" s="7"/>
      <c r="AH2" s="7"/>
      <c r="AI2" s="7"/>
      <c r="AJ2" s="7"/>
      <c r="AK2" s="7"/>
      <c r="AL2" s="7"/>
      <c r="AM2" s="7"/>
      <c r="AN2" s="7"/>
      <c r="AO2" s="7"/>
      <c r="AP2" s="7"/>
      <c r="AQ2" s="7"/>
      <c r="AR2" s="7"/>
      <c r="AS2" s="7"/>
      <c r="AT2" s="7"/>
      <c r="AU2" s="7"/>
    </row>
    <row r="3" spans="1:47" x14ac:dyDescent="0.3">
      <c r="A3" s="22"/>
      <c r="B3" s="4"/>
      <c r="C3" s="5"/>
      <c r="D3" s="5"/>
      <c r="E3" s="5"/>
      <c r="F3" s="4"/>
      <c r="G3" s="4"/>
      <c r="H3" s="5"/>
      <c r="I3" s="5" t="s">
        <v>35</v>
      </c>
      <c r="J3" s="5"/>
      <c r="K3" s="5" t="s">
        <v>35</v>
      </c>
      <c r="L3" s="4"/>
      <c r="M3" s="6"/>
      <c r="N3" s="9"/>
      <c r="O3" s="9"/>
      <c r="P3" s="7" t="str">
        <f t="shared" ref="P3:P5" si="0">IF(AND($H$7&gt;=$R3,$H$7&lt;=$S3),"OK","Not valid")</f>
        <v>OK</v>
      </c>
      <c r="Q3" s="6" t="s">
        <v>4</v>
      </c>
      <c r="R3" s="9">
        <v>2.2000000000000002</v>
      </c>
      <c r="S3" s="9">
        <v>4.8</v>
      </c>
      <c r="T3" s="6">
        <f>H7*V3+W3</f>
        <v>3.2457883365</v>
      </c>
      <c r="U3" s="6">
        <f>H7*X3+Y3</f>
        <v>3.0574877535000002</v>
      </c>
      <c r="V3" s="31">
        <v>0.97923139699999995</v>
      </c>
      <c r="W3" s="31">
        <v>-0.181521553</v>
      </c>
      <c r="X3" s="31">
        <v>0.97902782300000002</v>
      </c>
      <c r="Y3" s="31">
        <v>-0.369109627</v>
      </c>
      <c r="Z3" s="7">
        <f t="shared" ref="Z3:Z5" si="1">T3/2</f>
        <v>1.62289416825</v>
      </c>
      <c r="AA3" s="7">
        <f t="shared" ref="AA3:AA5" si="2">Z3/100*(100-AB3)</f>
        <v>1.2983153346</v>
      </c>
      <c r="AB3" s="4">
        <v>20</v>
      </c>
      <c r="AC3" s="4">
        <f>IF(Z3&lt;1,1,Z3)</f>
        <v>1.62289416825</v>
      </c>
      <c r="AD3" s="4">
        <f>IF(AA3&lt;1,1,AA3)</f>
        <v>1.2983153346</v>
      </c>
      <c r="AE3" s="4">
        <f t="shared" ref="AE3:AE5" si="3">IF(AC3/100*(100-AF3)&lt;1,1,AC3/100*(100-AF3))</f>
        <v>1.460604751425</v>
      </c>
      <c r="AF3" s="4">
        <v>10</v>
      </c>
      <c r="AG3" s="7"/>
      <c r="AH3" s="7"/>
      <c r="AI3" s="7"/>
      <c r="AJ3" s="7"/>
      <c r="AK3" s="7"/>
      <c r="AL3" s="7"/>
      <c r="AM3" s="7"/>
      <c r="AN3" s="7"/>
      <c r="AO3" s="7"/>
      <c r="AP3" s="7"/>
      <c r="AQ3" s="7"/>
      <c r="AR3" s="7"/>
      <c r="AS3" s="7"/>
      <c r="AT3" s="7"/>
      <c r="AU3" s="7"/>
    </row>
    <row r="4" spans="1:47" x14ac:dyDescent="0.3">
      <c r="A4" s="22"/>
      <c r="B4" s="4"/>
      <c r="C4" s="5" t="s">
        <v>6</v>
      </c>
      <c r="D4" s="5"/>
      <c r="E4" s="5" t="s">
        <v>7</v>
      </c>
      <c r="F4" s="4"/>
      <c r="G4" s="4"/>
      <c r="H4" s="5" t="s">
        <v>6</v>
      </c>
      <c r="I4" s="5"/>
      <c r="J4" s="5" t="s">
        <v>7</v>
      </c>
      <c r="K4" s="4"/>
      <c r="L4" s="4"/>
      <c r="M4" s="6"/>
      <c r="N4" s="6"/>
      <c r="O4" s="6"/>
      <c r="P4" s="7" t="str">
        <f t="shared" si="0"/>
        <v>OK</v>
      </c>
      <c r="Q4" s="6" t="s">
        <v>26</v>
      </c>
      <c r="R4" s="6">
        <v>3.5</v>
      </c>
      <c r="S4" s="6">
        <v>7.5</v>
      </c>
      <c r="T4" s="6">
        <f>H7*V4+W4</f>
        <v>2.0024796998924619</v>
      </c>
      <c r="U4" s="6">
        <f>H7*X4+Y4</f>
        <v>1.8516042214412343</v>
      </c>
      <c r="V4" s="31">
        <v>0.61772714746243396</v>
      </c>
      <c r="W4" s="31">
        <v>-0.15956531622605699</v>
      </c>
      <c r="X4" s="31">
        <v>0.62152048363024504</v>
      </c>
      <c r="Y4" s="31">
        <v>-0.32371747126462302</v>
      </c>
      <c r="Z4" s="7">
        <f t="shared" si="1"/>
        <v>1.0012398499462309</v>
      </c>
      <c r="AA4" s="7">
        <f t="shared" si="2"/>
        <v>0.80099187995698473</v>
      </c>
      <c r="AB4" s="4">
        <v>20</v>
      </c>
      <c r="AC4" s="4">
        <f>IF(Z4&lt;1,1,Z4)</f>
        <v>1.0012398499462309</v>
      </c>
      <c r="AD4" s="4">
        <f>IF(AA4&lt;1,1,AA4)</f>
        <v>1</v>
      </c>
      <c r="AE4" s="4">
        <f t="shared" si="3"/>
        <v>1</v>
      </c>
      <c r="AF4" s="4">
        <v>8</v>
      </c>
      <c r="AG4" s="7"/>
      <c r="AH4" s="7"/>
      <c r="AI4" s="7"/>
      <c r="AJ4" s="7"/>
      <c r="AK4" s="7"/>
      <c r="AL4" s="7"/>
      <c r="AM4" s="7"/>
      <c r="AN4" s="7"/>
      <c r="AO4" s="7"/>
      <c r="AP4" s="7"/>
      <c r="AQ4" s="7"/>
      <c r="AR4" s="7"/>
      <c r="AS4" s="7"/>
      <c r="AT4" s="7"/>
      <c r="AU4" s="7"/>
    </row>
    <row r="5" spans="1:47" x14ac:dyDescent="0.3">
      <c r="A5" s="22" t="s">
        <v>5</v>
      </c>
      <c r="B5" s="4" t="s">
        <v>3</v>
      </c>
      <c r="C5" s="10">
        <f>IF($C$2&lt;&gt;"",$H$5*VLOOKUP($D7,X11:Z15,3,FALSE),"-")</f>
        <v>2.5</v>
      </c>
      <c r="D5" s="11" t="s">
        <v>21</v>
      </c>
      <c r="E5" s="10">
        <f>IF($C$2&lt;&gt;"",$J$5*VLOOKUP($D7,X11:Z15,3,FALSE),"-")</f>
        <v>4.5</v>
      </c>
      <c r="F5" s="12"/>
      <c r="G5" s="4"/>
      <c r="H5" s="10">
        <f>IF($C$2&lt;&gt;"",VLOOKUP($C$2,$Q$2:$U$5,2,FALSE),"")</f>
        <v>2.5</v>
      </c>
      <c r="I5" s="11" t="s">
        <v>21</v>
      </c>
      <c r="J5" s="10">
        <f>IF($C$2&lt;&gt;"",VLOOKUP(C2,$Q$2:$U$5,3,FALSE),"")</f>
        <v>4.5</v>
      </c>
      <c r="K5" s="4" t="s">
        <v>13</v>
      </c>
      <c r="L5" s="4"/>
      <c r="M5" s="6"/>
      <c r="N5" s="6"/>
      <c r="O5" s="6"/>
      <c r="P5" s="7" t="str">
        <f t="shared" si="0"/>
        <v>Not valid</v>
      </c>
      <c r="Q5" s="6" t="s">
        <v>24</v>
      </c>
      <c r="R5" s="6">
        <v>7</v>
      </c>
      <c r="S5" s="6">
        <v>15.5</v>
      </c>
      <c r="T5" s="6">
        <f>H7*V5+W5</f>
        <v>0.92410616499999998</v>
      </c>
      <c r="U5" s="6">
        <f>H7*X5+Y5</f>
        <v>0.87403848399999995</v>
      </c>
      <c r="V5" s="31">
        <v>0.28538741000000001</v>
      </c>
      <c r="W5" s="31">
        <v>-7.4749769999999993E-2</v>
      </c>
      <c r="X5" s="31">
        <v>0.28890355000000001</v>
      </c>
      <c r="Y5" s="31">
        <v>-0.137123941</v>
      </c>
      <c r="Z5" s="7">
        <f t="shared" si="1"/>
        <v>0.46205308249999999</v>
      </c>
      <c r="AA5" s="7">
        <f t="shared" si="2"/>
        <v>0.39274512012500001</v>
      </c>
      <c r="AB5" s="4">
        <v>15</v>
      </c>
      <c r="AC5" s="4">
        <f>IF(Z5&lt;1,1,Z5)</f>
        <v>1</v>
      </c>
      <c r="AD5" s="4">
        <f>IF(AA5&lt;1,1,AA5)</f>
        <v>1</v>
      </c>
      <c r="AE5" s="4">
        <f t="shared" si="3"/>
        <v>1</v>
      </c>
      <c r="AF5" s="4">
        <v>8</v>
      </c>
      <c r="AG5" s="7"/>
      <c r="AH5" s="7"/>
      <c r="AI5" s="7"/>
      <c r="AJ5" s="7"/>
      <c r="AK5" s="7"/>
      <c r="AL5" s="7"/>
      <c r="AM5" s="7"/>
      <c r="AN5" s="7"/>
      <c r="AO5" s="7"/>
      <c r="AP5" s="7"/>
      <c r="AQ5" s="7"/>
      <c r="AR5" s="7"/>
      <c r="AS5" s="7"/>
      <c r="AT5" s="7"/>
      <c r="AU5" s="7"/>
    </row>
    <row r="6" spans="1:47" x14ac:dyDescent="0.3">
      <c r="A6" s="22"/>
      <c r="B6" s="4"/>
      <c r="C6" s="5"/>
      <c r="D6" s="5"/>
      <c r="E6" s="5"/>
      <c r="F6" s="4"/>
      <c r="G6" s="4"/>
      <c r="H6" s="5"/>
      <c r="I6" s="5"/>
      <c r="J6" s="5"/>
      <c r="K6" s="4"/>
      <c r="L6" s="4"/>
      <c r="M6" s="6"/>
      <c r="N6" s="6"/>
      <c r="O6" s="6"/>
      <c r="P6" s="7"/>
      <c r="Q6" s="7"/>
      <c r="R6" s="7"/>
      <c r="S6" s="7"/>
      <c r="T6" s="4"/>
      <c r="U6" s="4"/>
      <c r="V6" s="7"/>
      <c r="W6" s="7"/>
      <c r="X6" s="7"/>
      <c r="Y6" s="7"/>
      <c r="Z6" s="7"/>
      <c r="AA6" s="7"/>
      <c r="AB6" s="7"/>
      <c r="AC6" s="7"/>
      <c r="AD6" s="7"/>
      <c r="AE6" s="7"/>
      <c r="AF6" s="7"/>
      <c r="AG6" s="7"/>
      <c r="AH6" s="7"/>
      <c r="AI6" s="7"/>
      <c r="AJ6" s="7"/>
      <c r="AK6" s="7"/>
      <c r="AL6" s="7"/>
      <c r="AM6" s="7"/>
      <c r="AN6" s="7"/>
      <c r="AO6" s="7"/>
      <c r="AP6" s="7"/>
      <c r="AQ6" s="7"/>
      <c r="AR6" s="7"/>
      <c r="AS6" s="7"/>
      <c r="AT6" s="7"/>
      <c r="AU6" s="7"/>
    </row>
    <row r="7" spans="1:47" x14ac:dyDescent="0.3">
      <c r="A7" s="22" t="s">
        <v>0</v>
      </c>
      <c r="B7" s="4" t="s">
        <v>3</v>
      </c>
      <c r="C7" s="3">
        <v>3.5</v>
      </c>
      <c r="D7" s="30" t="s">
        <v>13</v>
      </c>
      <c r="E7" s="12"/>
      <c r="F7" s="4"/>
      <c r="G7" s="4"/>
      <c r="H7" s="27">
        <f>IF(AND($C$2&lt;&gt;"", $C$7&lt;&gt;""),$C$7*VLOOKUP($D$7,$X$11:$Z$15,2,FALSE),"")</f>
        <v>3.5</v>
      </c>
      <c r="I7" s="12" t="s">
        <v>13</v>
      </c>
      <c r="J7" s="22" t="s">
        <v>41</v>
      </c>
      <c r="K7" s="12" t="b">
        <f>NOT(ISERROR(H7))</f>
        <v>1</v>
      </c>
      <c r="L7" s="4"/>
      <c r="M7" s="6"/>
      <c r="N7" s="6"/>
      <c r="O7" s="6"/>
      <c r="P7" s="7"/>
      <c r="Q7" s="7"/>
      <c r="R7" s="7"/>
      <c r="S7" s="7"/>
      <c r="T7" s="4"/>
      <c r="U7" s="4"/>
      <c r="V7" s="7"/>
      <c r="W7" s="7"/>
      <c r="X7" s="7"/>
      <c r="Y7" s="7"/>
      <c r="Z7" s="7"/>
      <c r="AA7" s="7"/>
      <c r="AB7" s="7"/>
      <c r="AC7" s="7"/>
      <c r="AD7" s="7"/>
      <c r="AE7" s="7"/>
      <c r="AF7" s="7"/>
      <c r="AG7" s="7"/>
      <c r="AH7" s="7"/>
      <c r="AI7" s="7"/>
      <c r="AJ7" s="7"/>
      <c r="AK7" s="7"/>
      <c r="AL7" s="7"/>
      <c r="AM7" s="7"/>
      <c r="AN7" s="7"/>
      <c r="AO7" s="7"/>
      <c r="AP7" s="7"/>
      <c r="AQ7" s="7"/>
      <c r="AR7" s="7"/>
      <c r="AS7" s="7"/>
      <c r="AT7" s="7"/>
      <c r="AU7" s="7"/>
    </row>
    <row r="8" spans="1:47" x14ac:dyDescent="0.3">
      <c r="A8" s="22"/>
      <c r="B8" s="4"/>
      <c r="C8" s="13"/>
      <c r="D8" s="13"/>
      <c r="E8" s="12"/>
      <c r="F8" s="4"/>
      <c r="G8" s="4"/>
      <c r="H8" s="13"/>
      <c r="I8" s="13"/>
      <c r="J8" s="12"/>
      <c r="K8" s="4"/>
      <c r="L8" s="4"/>
      <c r="M8" s="6"/>
      <c r="N8" s="6"/>
      <c r="O8" s="6"/>
      <c r="P8" s="7"/>
      <c r="Q8" s="7"/>
      <c r="R8" s="7"/>
      <c r="S8" s="7"/>
      <c r="T8" s="4"/>
      <c r="U8" s="4"/>
      <c r="V8" s="7"/>
      <c r="W8" s="7"/>
      <c r="X8" s="7"/>
      <c r="Y8" s="7"/>
      <c r="Z8" s="7"/>
      <c r="AA8" s="7"/>
      <c r="AB8" s="7"/>
      <c r="AC8" s="7"/>
      <c r="AD8" s="7"/>
      <c r="AE8" s="7"/>
      <c r="AF8" s="7"/>
      <c r="AG8" s="7"/>
      <c r="AH8" s="7"/>
      <c r="AI8" s="7"/>
      <c r="AJ8" s="7"/>
      <c r="AK8" s="7"/>
      <c r="AL8" s="7"/>
      <c r="AM8" s="7"/>
      <c r="AN8" s="7"/>
      <c r="AO8" s="7"/>
      <c r="AP8" s="7"/>
      <c r="AQ8" s="7"/>
      <c r="AR8" s="7"/>
      <c r="AS8" s="7"/>
      <c r="AT8" s="7"/>
      <c r="AU8" s="7"/>
    </row>
    <row r="9" spans="1:47" x14ac:dyDescent="0.3">
      <c r="A9" s="22"/>
      <c r="B9" s="4"/>
      <c r="C9" s="5"/>
      <c r="D9" s="5"/>
      <c r="E9" s="12"/>
      <c r="F9" s="4"/>
      <c r="G9" s="4"/>
      <c r="H9" s="5"/>
      <c r="I9" s="5"/>
      <c r="J9" s="12"/>
      <c r="K9" s="4"/>
      <c r="L9" s="4"/>
      <c r="M9" s="6"/>
      <c r="N9" s="6"/>
      <c r="O9" s="6"/>
      <c r="P9" s="7"/>
      <c r="Q9" s="7"/>
      <c r="R9" s="7"/>
      <c r="S9" s="7"/>
      <c r="T9" s="4"/>
      <c r="U9" s="4"/>
      <c r="V9" s="7"/>
      <c r="W9" s="7"/>
      <c r="X9" s="7"/>
      <c r="Y9" s="7"/>
      <c r="Z9" s="7"/>
      <c r="AA9" s="7"/>
      <c r="AB9" s="7"/>
      <c r="AC9" s="7"/>
      <c r="AD9" s="7"/>
      <c r="AE9" s="7"/>
      <c r="AF9" s="7"/>
      <c r="AG9" s="7"/>
      <c r="AH9" s="7"/>
      <c r="AI9" s="7"/>
      <c r="AJ9" s="7"/>
      <c r="AK9" s="7"/>
      <c r="AL9" s="7"/>
      <c r="AM9" s="7"/>
      <c r="AN9" s="7"/>
      <c r="AO9" s="7"/>
      <c r="AP9" s="7"/>
      <c r="AQ9" s="7"/>
      <c r="AR9" s="7"/>
      <c r="AS9" s="7"/>
      <c r="AT9" s="7"/>
      <c r="AU9" s="7"/>
    </row>
    <row r="10" spans="1:47" x14ac:dyDescent="0.3">
      <c r="A10" s="22" t="s">
        <v>16</v>
      </c>
      <c r="B10" s="4" t="s">
        <v>3</v>
      </c>
      <c r="C10" s="10">
        <f>IF(H10&lt;&gt;"",H10*VLOOKUP($D7,$X$11:$Z$15,3,FALSE),"-")</f>
        <v>1</v>
      </c>
      <c r="D10" s="11" t="s">
        <v>21</v>
      </c>
      <c r="E10" s="10">
        <f>IF(J10&lt;&gt;"",J10*VLOOKUP($D7,$X$11:$Z$15,3,FALSE),"-")</f>
        <v>2.3287550357981726</v>
      </c>
      <c r="F10" s="12"/>
      <c r="G10" s="4"/>
      <c r="H10" s="10">
        <f>IF(K7,IF(AND(H7&lt;&gt;"",$H$7&gt;=$H$5, $H$7&lt;=$J$5), VLOOKUP($C$2,$Q$2:$AE$5,14,FALSE), ""),"")</f>
        <v>1</v>
      </c>
      <c r="I10" s="11" t="s">
        <v>21</v>
      </c>
      <c r="J10" s="10">
        <f>IF(K7,IF(AND(K7,H7&lt;&gt;"",$H$7&gt;=$H$5, $H$7&lt;=$J$5), VLOOKUP($C$2,$Q$2:$AE$5,13,FALSE), ""),"")</f>
        <v>2.3287550357981726</v>
      </c>
      <c r="K10" s="4" t="s">
        <v>13</v>
      </c>
      <c r="L10" s="4"/>
      <c r="M10" s="6"/>
      <c r="N10" s="6"/>
      <c r="O10" s="6"/>
      <c r="P10" s="7"/>
      <c r="Q10" s="7"/>
      <c r="R10" s="7"/>
      <c r="S10" s="7"/>
      <c r="T10" s="4"/>
      <c r="U10" s="4"/>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row>
    <row r="11" spans="1:47" ht="15" thickBot="1" x14ac:dyDescent="0.35">
      <c r="A11" s="22"/>
      <c r="B11" s="4"/>
      <c r="C11" s="5"/>
      <c r="D11" s="5"/>
      <c r="E11" s="5"/>
      <c r="F11" s="4"/>
      <c r="G11" s="4"/>
      <c r="H11" s="5"/>
      <c r="I11" s="5"/>
      <c r="J11" s="5"/>
      <c r="K11" s="4"/>
      <c r="L11" s="4"/>
      <c r="M11" s="6"/>
      <c r="N11" s="6"/>
      <c r="O11" s="6"/>
      <c r="P11" s="7"/>
      <c r="Q11" s="7"/>
      <c r="R11" s="7"/>
      <c r="S11" s="7"/>
      <c r="T11" s="7"/>
      <c r="U11" s="7"/>
      <c r="V11" s="7"/>
      <c r="W11" s="7"/>
      <c r="X11" s="7" t="s">
        <v>31</v>
      </c>
      <c r="Y11" s="7">
        <v>1E-3</v>
      </c>
      <c r="Z11" s="7">
        <v>1000</v>
      </c>
      <c r="AA11" s="7"/>
      <c r="AB11" s="7"/>
      <c r="AC11" s="7"/>
      <c r="AD11" s="7"/>
      <c r="AE11" s="7"/>
      <c r="AF11" s="7"/>
      <c r="AG11" s="7"/>
      <c r="AH11" s="7"/>
      <c r="AI11" s="7"/>
      <c r="AJ11" s="7"/>
      <c r="AK11" s="7"/>
      <c r="AL11" s="7"/>
      <c r="AM11" s="7"/>
      <c r="AN11" s="7"/>
      <c r="AO11" s="7"/>
      <c r="AP11" s="7"/>
      <c r="AQ11" s="7"/>
      <c r="AR11" s="7"/>
      <c r="AS11" s="7"/>
      <c r="AT11" s="7"/>
      <c r="AU11" s="7"/>
    </row>
    <row r="12" spans="1:47" ht="15" thickBot="1" x14ac:dyDescent="0.35">
      <c r="A12" s="22" t="s">
        <v>12</v>
      </c>
      <c r="B12" s="4" t="s">
        <v>3</v>
      </c>
      <c r="C12" s="14">
        <f>IF(K7,IF(AND(H7&lt;&gt;"",H7&gt;=H5, H7&lt;=J5),H12*VLOOKUP($D12,$X$11:$Z$15,3,FALSE),"-"),"-")</f>
        <v>1.5136907732688121</v>
      </c>
      <c r="D12" s="30" t="s">
        <v>13</v>
      </c>
      <c r="E12" s="12"/>
      <c r="F12" s="4"/>
      <c r="G12" s="4"/>
      <c r="H12" s="14">
        <f>IF(K7,IF(AND(H7&lt;&gt;"",H7&gt;=H5, H7&lt;=J5), VLOOKUP(C2,$Q$2:$AF$5,15,FALSE), ""),"")</f>
        <v>1.5136907732688121</v>
      </c>
      <c r="I12" s="12" t="s">
        <v>13</v>
      </c>
      <c r="J12" s="12"/>
      <c r="K12" s="4"/>
      <c r="L12" s="4"/>
      <c r="M12" s="6"/>
      <c r="N12" s="6"/>
      <c r="O12" s="6"/>
      <c r="P12" s="7"/>
      <c r="Q12" s="7"/>
      <c r="R12" s="7"/>
      <c r="S12" s="7"/>
      <c r="T12" s="7"/>
      <c r="U12" s="7"/>
      <c r="V12" s="7"/>
      <c r="W12" s="7"/>
      <c r="X12" s="7" t="s">
        <v>32</v>
      </c>
      <c r="Y12" s="7">
        <v>0.01</v>
      </c>
      <c r="Z12" s="7">
        <v>100</v>
      </c>
      <c r="AA12" s="7"/>
      <c r="AB12" s="7"/>
      <c r="AC12" s="7"/>
      <c r="AD12" s="7"/>
      <c r="AE12" s="7"/>
      <c r="AF12" s="7"/>
      <c r="AG12" s="7"/>
      <c r="AH12" s="7"/>
      <c r="AI12" s="7"/>
      <c r="AJ12" s="7"/>
      <c r="AK12" s="7"/>
      <c r="AL12" s="7"/>
      <c r="AM12" s="7"/>
      <c r="AN12" s="7"/>
      <c r="AO12" s="7"/>
      <c r="AP12" s="7"/>
      <c r="AQ12" s="7"/>
      <c r="AR12" s="7"/>
      <c r="AS12" s="7"/>
      <c r="AT12" s="7"/>
      <c r="AU12" s="7"/>
    </row>
    <row r="13" spans="1:47" x14ac:dyDescent="0.3">
      <c r="A13" s="22"/>
      <c r="B13" s="4"/>
      <c r="C13" s="4"/>
      <c r="D13" s="4"/>
      <c r="E13" s="4"/>
      <c r="F13" s="4"/>
      <c r="G13" s="4"/>
      <c r="H13" s="5"/>
      <c r="I13" s="5"/>
      <c r="J13" s="5"/>
      <c r="K13" s="4"/>
      <c r="L13" s="4"/>
      <c r="M13" s="6"/>
      <c r="N13" s="6"/>
      <c r="O13" s="6"/>
      <c r="P13" s="7"/>
      <c r="Q13" s="7"/>
      <c r="R13" s="7"/>
      <c r="S13" s="7"/>
      <c r="T13" s="7"/>
      <c r="U13" s="7"/>
      <c r="V13" s="7"/>
      <c r="W13" s="7"/>
      <c r="X13" s="7" t="s">
        <v>13</v>
      </c>
      <c r="Y13" s="7">
        <v>1</v>
      </c>
      <c r="Z13" s="7">
        <v>1</v>
      </c>
      <c r="AA13" s="7"/>
      <c r="AB13" s="7"/>
      <c r="AC13" s="7"/>
      <c r="AD13" s="7"/>
      <c r="AE13" s="7"/>
      <c r="AF13" s="7"/>
      <c r="AG13" s="7"/>
      <c r="AH13" s="7"/>
      <c r="AI13" s="7"/>
      <c r="AJ13" s="7"/>
      <c r="AK13" s="7"/>
      <c r="AL13" s="7"/>
      <c r="AM13" s="7"/>
      <c r="AN13" s="7"/>
      <c r="AO13" s="7"/>
      <c r="AP13" s="7"/>
      <c r="AQ13" s="7"/>
      <c r="AR13" s="7"/>
      <c r="AS13" s="7"/>
      <c r="AT13" s="7"/>
      <c r="AU13" s="7"/>
    </row>
    <row r="14" spans="1:47" x14ac:dyDescent="0.3">
      <c r="A14" s="22"/>
      <c r="B14" s="4"/>
      <c r="C14" s="4"/>
      <c r="D14" s="4"/>
      <c r="E14" s="4"/>
      <c r="F14" s="4"/>
      <c r="G14" s="4"/>
      <c r="H14" s="5"/>
      <c r="I14" s="5"/>
      <c r="J14" s="5"/>
      <c r="K14" s="4"/>
      <c r="L14" s="4"/>
      <c r="M14" s="6"/>
      <c r="N14" s="6"/>
      <c r="O14" s="6"/>
      <c r="P14" s="7"/>
      <c r="Q14" s="7"/>
      <c r="R14" s="7"/>
      <c r="S14" s="7"/>
      <c r="T14" s="7"/>
      <c r="U14" s="7"/>
      <c r="V14" s="7"/>
      <c r="W14" s="7"/>
      <c r="X14" s="7" t="s">
        <v>33</v>
      </c>
      <c r="Y14" s="7">
        <v>0.30480000000000002</v>
      </c>
      <c r="Z14" s="7">
        <v>3.28084</v>
      </c>
      <c r="AA14" s="7"/>
      <c r="AB14" s="7"/>
      <c r="AC14" s="7"/>
      <c r="AD14" s="7"/>
      <c r="AE14" s="7"/>
      <c r="AF14" s="7"/>
      <c r="AG14" s="7"/>
      <c r="AH14" s="7"/>
      <c r="AI14" s="7"/>
      <c r="AJ14" s="7"/>
      <c r="AK14" s="7"/>
      <c r="AL14" s="7"/>
      <c r="AM14" s="7"/>
      <c r="AN14" s="7"/>
      <c r="AO14" s="7"/>
      <c r="AP14" s="7"/>
      <c r="AQ14" s="7"/>
      <c r="AR14" s="7"/>
      <c r="AS14" s="7"/>
      <c r="AT14" s="7"/>
      <c r="AU14" s="7"/>
    </row>
    <row r="15" spans="1:47" ht="14.4" customHeight="1" x14ac:dyDescent="0.3">
      <c r="A15" s="22" t="s">
        <v>36</v>
      </c>
      <c r="B15" s="5" t="s">
        <v>3</v>
      </c>
      <c r="C15" s="35" t="str">
        <f>IF(AND($C$2="",$C$7=""),"Choose a Lens Variant and a Mounting Height",IF($C$2="","Choose a lens Variant",IF($C$7="","Enter a Mounting Height",IF(NOT(K7),"Invalid entry for Mounting Height",IF(H7&gt;16,"Mounting Height too High for ANY Lens Variant",IF($C$7&lt;$C$5,"Mounting Height too Low for chosen Lens Variant",IF($C$7&gt;$E$5,"Mounting Height too High for chosen Lens Variant","")))))))</f>
        <v/>
      </c>
      <c r="D15" s="36"/>
      <c r="E15" s="36"/>
      <c r="F15" s="37"/>
      <c r="G15" s="4"/>
      <c r="H15" s="5"/>
      <c r="I15" s="5"/>
      <c r="J15" s="5"/>
      <c r="K15" s="4"/>
      <c r="L15" s="4"/>
      <c r="M15" s="6"/>
      <c r="N15" s="6"/>
      <c r="O15" s="6"/>
      <c r="P15" s="7"/>
      <c r="Q15" s="7"/>
      <c r="R15" s="7"/>
      <c r="S15" s="7"/>
      <c r="T15" s="7"/>
      <c r="U15" s="7"/>
      <c r="V15" s="7"/>
      <c r="W15" s="7"/>
      <c r="X15" s="7" t="s">
        <v>34</v>
      </c>
      <c r="Y15" s="7">
        <v>2.5399999999999999E-2</v>
      </c>
      <c r="Z15" s="7">
        <v>39.370100000000001</v>
      </c>
      <c r="AA15" s="7"/>
      <c r="AB15" s="7"/>
      <c r="AC15" s="7"/>
      <c r="AD15" s="7"/>
      <c r="AE15" s="7"/>
      <c r="AF15" s="7"/>
      <c r="AG15" s="7"/>
      <c r="AH15" s="7"/>
      <c r="AI15" s="7"/>
      <c r="AJ15" s="7"/>
      <c r="AK15" s="7"/>
      <c r="AL15" s="7"/>
      <c r="AM15" s="7"/>
      <c r="AN15" s="7"/>
      <c r="AO15" s="7"/>
      <c r="AP15" s="7"/>
      <c r="AQ15" s="7"/>
      <c r="AR15" s="7"/>
      <c r="AS15" s="7"/>
      <c r="AT15" s="7"/>
      <c r="AU15" s="7"/>
    </row>
    <row r="16" spans="1:47" x14ac:dyDescent="0.3">
      <c r="A16" s="22"/>
      <c r="B16" s="5"/>
      <c r="C16" s="38"/>
      <c r="D16" s="39"/>
      <c r="E16" s="39"/>
      <c r="F16" s="40"/>
      <c r="G16" s="4"/>
      <c r="H16" s="5"/>
      <c r="I16" s="5"/>
      <c r="J16" s="5"/>
      <c r="K16" s="4"/>
      <c r="L16" s="4"/>
      <c r="M16" s="6"/>
      <c r="N16" s="6"/>
      <c r="O16" s="6"/>
      <c r="P16" s="7"/>
      <c r="Q16" s="7"/>
      <c r="R16" s="7"/>
      <c r="S16" s="7"/>
      <c r="T16" s="4"/>
      <c r="U16" s="4"/>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row>
    <row r="17" spans="1:47" x14ac:dyDescent="0.3">
      <c r="A17" s="22"/>
      <c r="B17" s="5"/>
      <c r="C17" s="41"/>
      <c r="D17" s="42"/>
      <c r="E17" s="42"/>
      <c r="F17" s="43"/>
      <c r="G17" s="4"/>
      <c r="H17" s="5"/>
      <c r="I17" s="5"/>
      <c r="J17" s="5"/>
      <c r="K17" s="4"/>
      <c r="L17" s="4"/>
      <c r="M17" s="6"/>
      <c r="N17" s="6"/>
      <c r="O17" s="6"/>
      <c r="P17" s="7"/>
      <c r="Q17" s="7"/>
      <c r="R17" s="7"/>
      <c r="S17" s="7"/>
      <c r="T17" s="4"/>
      <c r="U17" s="4"/>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row>
    <row r="18" spans="1:47" x14ac:dyDescent="0.3">
      <c r="A18" s="22"/>
      <c r="B18" s="4"/>
      <c r="C18" s="4"/>
      <c r="D18" s="4"/>
      <c r="E18" s="4"/>
      <c r="F18" s="4"/>
      <c r="G18" s="4"/>
      <c r="H18" s="13"/>
      <c r="I18" s="5"/>
      <c r="J18" s="13"/>
      <c r="K18" s="4"/>
      <c r="L18" s="4"/>
      <c r="M18" s="6"/>
      <c r="N18" s="6"/>
      <c r="O18" s="6"/>
      <c r="P18" s="7"/>
      <c r="Q18" s="7"/>
      <c r="R18" s="7"/>
      <c r="S18" s="7"/>
      <c r="T18" s="4"/>
      <c r="U18" s="4"/>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row>
    <row r="19" spans="1:47" x14ac:dyDescent="0.3">
      <c r="A19" s="22"/>
      <c r="B19" s="4"/>
      <c r="C19" s="4"/>
      <c r="D19" s="4"/>
      <c r="E19" s="4"/>
      <c r="F19" s="4"/>
      <c r="G19" s="4"/>
      <c r="H19" s="5"/>
      <c r="I19" s="5"/>
      <c r="J19" s="5"/>
      <c r="K19" s="4"/>
      <c r="L19" s="4"/>
      <c r="M19" s="6"/>
      <c r="N19" s="6"/>
      <c r="O19" s="6"/>
      <c r="P19" s="7"/>
      <c r="Q19" s="7"/>
      <c r="R19" s="7"/>
      <c r="S19" s="7"/>
      <c r="T19" s="4"/>
      <c r="U19" s="4"/>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row>
    <row r="20" spans="1:47" x14ac:dyDescent="0.3">
      <c r="A20" s="23"/>
      <c r="B20" s="7"/>
      <c r="C20" s="7"/>
      <c r="D20" s="7"/>
      <c r="E20" s="7"/>
      <c r="F20" s="7"/>
      <c r="G20" s="7"/>
      <c r="H20" s="6"/>
      <c r="I20" s="6"/>
      <c r="J20" s="6"/>
      <c r="K20" s="7"/>
      <c r="L20" s="7"/>
      <c r="M20" s="6"/>
      <c r="N20" s="6"/>
      <c r="O20" s="6"/>
      <c r="P20" s="7"/>
      <c r="Q20" s="7"/>
      <c r="R20" s="7"/>
      <c r="S20" s="7"/>
      <c r="T20" s="4"/>
      <c r="U20" s="4"/>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row>
    <row r="21" spans="1:47" x14ac:dyDescent="0.3">
      <c r="A21" s="23"/>
      <c r="B21" s="7"/>
      <c r="C21" s="7"/>
      <c r="D21" s="7"/>
      <c r="E21" s="7"/>
      <c r="F21" s="7"/>
      <c r="G21" s="7"/>
      <c r="H21" s="6"/>
      <c r="I21" s="6"/>
      <c r="J21" s="6"/>
      <c r="K21" s="7"/>
      <c r="L21" s="7"/>
      <c r="M21" s="6"/>
      <c r="N21" s="6"/>
      <c r="O21" s="6"/>
      <c r="P21" s="7"/>
      <c r="Q21" s="7"/>
      <c r="R21" s="7"/>
      <c r="S21" s="7"/>
      <c r="T21" s="4"/>
      <c r="U21" s="4"/>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row>
    <row r="22" spans="1:47" x14ac:dyDescent="0.3">
      <c r="A22" s="23"/>
      <c r="B22" s="7"/>
      <c r="C22" s="7"/>
      <c r="D22" s="7"/>
      <c r="E22" s="7"/>
      <c r="F22" s="7"/>
      <c r="G22" s="7"/>
      <c r="H22" s="6"/>
      <c r="I22" s="6"/>
      <c r="J22" s="6"/>
      <c r="K22" s="7"/>
      <c r="L22" s="7"/>
      <c r="M22" s="6"/>
      <c r="N22" s="6"/>
      <c r="O22" s="6"/>
      <c r="P22" s="7"/>
      <c r="Q22" s="7"/>
      <c r="R22" s="7"/>
      <c r="S22" s="7"/>
      <c r="T22" s="4"/>
      <c r="U22" s="4"/>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row>
    <row r="23" spans="1:47" x14ac:dyDescent="0.3">
      <c r="A23" s="23"/>
      <c r="B23" s="7"/>
      <c r="C23" s="7"/>
      <c r="D23" s="7"/>
      <c r="E23" s="7"/>
      <c r="F23" s="7"/>
      <c r="G23" s="7"/>
      <c r="H23" s="6"/>
      <c r="I23" s="6"/>
      <c r="J23" s="6"/>
      <c r="K23" s="7"/>
      <c r="L23" s="7"/>
      <c r="M23" s="6"/>
      <c r="N23" s="6"/>
      <c r="O23" s="6"/>
      <c r="P23" s="7"/>
      <c r="Q23" s="7"/>
      <c r="R23" s="7"/>
      <c r="S23" s="7"/>
      <c r="T23" s="4"/>
      <c r="U23" s="4"/>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row>
    <row r="24" spans="1:47" x14ac:dyDescent="0.3">
      <c r="A24" s="23"/>
      <c r="B24" s="7"/>
      <c r="C24" s="7"/>
      <c r="D24" s="7"/>
      <c r="E24" s="7"/>
      <c r="F24" s="7"/>
      <c r="G24" s="7"/>
      <c r="H24" s="6"/>
      <c r="I24" s="6"/>
      <c r="J24" s="6"/>
      <c r="K24" s="7"/>
      <c r="L24" s="7"/>
      <c r="M24" s="6"/>
      <c r="N24" s="6"/>
      <c r="O24" s="6"/>
      <c r="P24" s="7"/>
      <c r="Q24" s="7"/>
      <c r="R24" s="7"/>
      <c r="S24" s="7"/>
      <c r="T24" s="4"/>
      <c r="U24" s="4"/>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row>
    <row r="25" spans="1:47" x14ac:dyDescent="0.3">
      <c r="A25" s="23"/>
      <c r="B25" s="7"/>
      <c r="C25" s="7"/>
      <c r="D25" s="7"/>
      <c r="E25" s="7"/>
      <c r="F25" s="7"/>
      <c r="G25" s="7"/>
      <c r="H25" s="6"/>
      <c r="I25" s="6"/>
      <c r="J25" s="6"/>
      <c r="K25" s="7"/>
      <c r="L25" s="7"/>
      <c r="M25" s="6"/>
      <c r="N25" s="6"/>
      <c r="O25" s="6"/>
      <c r="P25" s="7"/>
      <c r="Q25" s="7"/>
      <c r="R25" s="7"/>
      <c r="S25" s="7"/>
      <c r="T25" s="4"/>
      <c r="U25" s="4"/>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row>
    <row r="26" spans="1:47" x14ac:dyDescent="0.3">
      <c r="A26" s="23"/>
      <c r="B26" s="7"/>
      <c r="C26" s="7"/>
      <c r="D26" s="7"/>
      <c r="E26" s="7"/>
      <c r="F26" s="7"/>
      <c r="G26" s="7"/>
      <c r="H26" s="6"/>
      <c r="I26" s="6"/>
      <c r="J26" s="6"/>
      <c r="K26" s="7"/>
      <c r="L26" s="7"/>
      <c r="M26" s="6"/>
      <c r="N26" s="6"/>
      <c r="O26" s="6"/>
      <c r="P26" s="7"/>
      <c r="Q26" s="7"/>
      <c r="R26" s="7"/>
      <c r="S26" s="7"/>
      <c r="T26" s="4"/>
      <c r="U26" s="4"/>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row>
    <row r="27" spans="1:47" x14ac:dyDescent="0.3">
      <c r="A27" s="23"/>
      <c r="B27" s="7"/>
      <c r="C27" s="7"/>
      <c r="D27" s="7"/>
      <c r="E27" s="7"/>
      <c r="F27" s="7"/>
      <c r="G27" s="7"/>
      <c r="H27" s="6"/>
      <c r="I27" s="6"/>
      <c r="J27" s="6"/>
      <c r="K27" s="7"/>
      <c r="L27" s="7"/>
      <c r="M27" s="6"/>
      <c r="N27" s="6"/>
      <c r="O27" s="6"/>
      <c r="P27" s="7"/>
      <c r="Q27" s="7"/>
      <c r="R27" s="7"/>
      <c r="S27" s="7"/>
      <c r="T27" s="4"/>
      <c r="U27" s="4"/>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row>
    <row r="28" spans="1:47" x14ac:dyDescent="0.3">
      <c r="A28" s="23"/>
      <c r="B28" s="7"/>
      <c r="C28" s="7"/>
      <c r="D28" s="7"/>
      <c r="E28" s="7"/>
      <c r="F28" s="7"/>
      <c r="G28" s="7"/>
      <c r="H28" s="6"/>
      <c r="I28" s="6"/>
      <c r="J28" s="6"/>
      <c r="K28" s="7"/>
      <c r="L28" s="7"/>
      <c r="M28" s="6"/>
      <c r="N28" s="6"/>
      <c r="O28" s="6"/>
      <c r="P28" s="7"/>
      <c r="Q28" s="7"/>
      <c r="R28" s="7"/>
      <c r="S28" s="7"/>
      <c r="T28" s="4"/>
      <c r="U28" s="4"/>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row>
    <row r="29" spans="1:47" x14ac:dyDescent="0.3">
      <c r="A29" s="23"/>
      <c r="B29" s="7"/>
      <c r="C29" s="7"/>
      <c r="D29" s="7"/>
      <c r="E29" s="7"/>
      <c r="F29" s="7"/>
      <c r="G29" s="7"/>
      <c r="H29" s="6"/>
      <c r="I29" s="6"/>
      <c r="J29" s="6"/>
      <c r="K29" s="7"/>
      <c r="L29" s="7"/>
      <c r="M29" s="6"/>
      <c r="N29" s="6"/>
      <c r="O29" s="6"/>
      <c r="P29" s="7"/>
      <c r="Q29" s="7"/>
      <c r="R29" s="7"/>
      <c r="S29" s="7"/>
      <c r="T29" s="4"/>
      <c r="U29" s="4"/>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row>
    <row r="30" spans="1:47" x14ac:dyDescent="0.3">
      <c r="A30" s="23"/>
      <c r="B30" s="7"/>
      <c r="C30" s="7"/>
      <c r="D30" s="7"/>
      <c r="E30" s="7"/>
      <c r="F30" s="7"/>
      <c r="G30" s="7"/>
      <c r="H30" s="6"/>
      <c r="I30" s="6"/>
      <c r="J30" s="6"/>
      <c r="K30" s="7"/>
      <c r="L30" s="7"/>
      <c r="M30" s="6"/>
      <c r="N30" s="6"/>
      <c r="O30" s="6"/>
      <c r="P30" s="7"/>
      <c r="Q30" s="7"/>
      <c r="R30" s="7"/>
      <c r="S30" s="7"/>
      <c r="T30" s="4"/>
      <c r="U30" s="4"/>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row>
    <row r="31" spans="1:47" x14ac:dyDescent="0.3">
      <c r="A31" s="23"/>
      <c r="B31" s="7"/>
      <c r="C31" s="7"/>
      <c r="D31" s="7"/>
      <c r="E31" s="7"/>
      <c r="F31" s="7"/>
      <c r="G31" s="7"/>
      <c r="H31" s="6"/>
      <c r="I31" s="6"/>
      <c r="J31" s="6"/>
      <c r="K31" s="7"/>
      <c r="L31" s="7"/>
      <c r="M31" s="6"/>
      <c r="N31" s="6"/>
      <c r="O31" s="6"/>
      <c r="P31" s="7"/>
      <c r="Q31" s="7"/>
      <c r="R31" s="7"/>
      <c r="S31" s="7"/>
      <c r="T31" s="4"/>
      <c r="U31" s="4"/>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row>
    <row r="32" spans="1:47" x14ac:dyDescent="0.3">
      <c r="A32" s="23"/>
      <c r="B32" s="7"/>
      <c r="C32" s="7"/>
      <c r="D32" s="7"/>
      <c r="E32" s="7"/>
      <c r="F32" s="7"/>
      <c r="G32" s="7"/>
      <c r="H32" s="6"/>
      <c r="I32" s="6"/>
      <c r="J32" s="6"/>
      <c r="K32" s="7"/>
      <c r="L32" s="7"/>
      <c r="M32" s="6"/>
      <c r="N32" s="6"/>
      <c r="O32" s="6"/>
      <c r="P32" s="7"/>
      <c r="Q32" s="7"/>
      <c r="R32" s="7"/>
      <c r="S32" s="7"/>
      <c r="T32" s="4"/>
      <c r="U32" s="4"/>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row>
    <row r="33" spans="1:47" x14ac:dyDescent="0.3">
      <c r="A33" s="23"/>
      <c r="B33" s="7"/>
      <c r="C33" s="7"/>
      <c r="D33" s="7"/>
      <c r="E33" s="7"/>
      <c r="F33" s="7"/>
      <c r="G33" s="7"/>
      <c r="H33" s="6"/>
      <c r="I33" s="6"/>
      <c r="J33" s="6"/>
      <c r="K33" s="7"/>
      <c r="L33" s="7"/>
      <c r="M33" s="6"/>
      <c r="N33" s="6"/>
      <c r="O33" s="6"/>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row>
    <row r="34" spans="1:47" x14ac:dyDescent="0.3">
      <c r="A34" s="23"/>
      <c r="B34" s="7"/>
      <c r="C34" s="7"/>
      <c r="D34" s="7"/>
      <c r="E34" s="7"/>
      <c r="F34" s="7"/>
      <c r="G34" s="7"/>
      <c r="H34" s="6"/>
      <c r="I34" s="6"/>
      <c r="J34" s="6"/>
      <c r="K34" s="7"/>
      <c r="L34" s="7"/>
      <c r="M34" s="6"/>
      <c r="N34" s="6"/>
      <c r="O34" s="6"/>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row>
    <row r="35" spans="1:47" x14ac:dyDescent="0.3">
      <c r="A35" s="23"/>
      <c r="B35" s="7"/>
      <c r="C35" s="7"/>
      <c r="D35" s="7"/>
      <c r="E35" s="7"/>
      <c r="F35" s="7"/>
      <c r="G35" s="7"/>
      <c r="H35" s="6"/>
      <c r="I35" s="6"/>
      <c r="J35" s="6"/>
      <c r="K35" s="7"/>
      <c r="L35" s="7"/>
      <c r="M35" s="6"/>
      <c r="N35" s="6"/>
      <c r="O35" s="6"/>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row>
    <row r="36" spans="1:47" x14ac:dyDescent="0.3">
      <c r="A36" s="23"/>
      <c r="B36" s="7"/>
      <c r="C36" s="7"/>
      <c r="D36" s="7"/>
      <c r="E36" s="7"/>
      <c r="F36" s="7"/>
      <c r="G36" s="7"/>
      <c r="H36" s="6"/>
      <c r="I36" s="6"/>
      <c r="J36" s="6"/>
      <c r="K36" s="7"/>
      <c r="L36" s="7"/>
      <c r="M36" s="6"/>
      <c r="N36" s="6"/>
      <c r="O36" s="6"/>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row>
    <row r="37" spans="1:47" x14ac:dyDescent="0.3">
      <c r="A37" s="23"/>
      <c r="B37" s="7"/>
      <c r="C37" s="7"/>
      <c r="D37" s="7"/>
      <c r="E37" s="7"/>
      <c r="F37" s="7"/>
      <c r="G37" s="7"/>
      <c r="H37" s="6"/>
      <c r="I37" s="6"/>
      <c r="J37" s="6"/>
      <c r="K37" s="7"/>
      <c r="L37" s="7"/>
      <c r="M37" s="6"/>
      <c r="N37" s="6"/>
      <c r="O37" s="6"/>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row>
  </sheetData>
  <sheetProtection algorithmName="SHA-512" hashValue="FMH1i1DmvmNRbFqbs3uSos8obRB85hZivylu0EF9wqNhqSP5mZ/KGLJUQ9tPKjWAHD+c2FejZSB0SGHZOLuX+w==" saltValue="H2NDdbUtEwJkTVvrzfoyOQ==" spinCount="100000" sheet="1" objects="1" scenarios="1" selectLockedCells="1"/>
  <mergeCells count="1">
    <mergeCell ref="C15:F17"/>
  </mergeCells>
  <conditionalFormatting sqref="C2">
    <cfRule type="expression" dxfId="11" priority="4">
      <formula>$C$2=""</formula>
    </cfRule>
  </conditionalFormatting>
  <conditionalFormatting sqref="C7">
    <cfRule type="expression" dxfId="10" priority="1" stopIfTrue="1">
      <formula>$C$7=""</formula>
    </cfRule>
    <cfRule type="expression" dxfId="9" priority="2">
      <formula>OR(AND($C$5&lt;&gt;"-",$C$7&lt;$C$5),AND($E$5&lt;&gt;"-",$C$7&gt;$E$5))</formula>
    </cfRule>
  </conditionalFormatting>
  <dataValidations count="3">
    <dataValidation type="decimal" allowBlank="1" showInputMessage="1" showErrorMessage="1" sqref="H8:I8 C8:D8">
      <formula1>C6</formula1>
      <formula2>E6</formula2>
    </dataValidation>
    <dataValidation type="list" allowBlank="1" showInputMessage="1" showErrorMessage="1" sqref="C2">
      <formula1>$Q$2:$Q$5</formula1>
    </dataValidation>
    <dataValidation type="list" allowBlank="1" showInputMessage="1" showErrorMessage="1" sqref="D7 D12">
      <formula1>$X$11:$X$15</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tint="0.39997558519241921"/>
  </sheetPr>
  <dimension ref="A1:AR37"/>
  <sheetViews>
    <sheetView workbookViewId="0">
      <selection activeCell="C2" sqref="C2"/>
    </sheetView>
  </sheetViews>
  <sheetFormatPr defaultRowHeight="14.4" x14ac:dyDescent="0.3"/>
  <cols>
    <col min="1" max="1" width="27.33203125" style="24" bestFit="1" customWidth="1"/>
    <col min="2" max="2" width="1.5546875" style="8" bestFit="1" customWidth="1"/>
    <col min="3" max="3" width="10.21875" style="8" customWidth="1"/>
    <col min="4" max="4" width="6.109375" style="8" bestFit="1" customWidth="1"/>
    <col min="5" max="5" width="10.21875" style="8" customWidth="1"/>
    <col min="6" max="6" width="6.109375" style="8" bestFit="1" customWidth="1"/>
    <col min="7" max="7" width="6.109375" style="8" customWidth="1"/>
    <col min="8" max="8" width="7.21875" style="15" hidden="1" customWidth="1"/>
    <col min="9" max="9" width="2.5546875" style="15" hidden="1" customWidth="1"/>
    <col min="10" max="10" width="7.21875" style="15" hidden="1" customWidth="1"/>
    <col min="11" max="11" width="6.44140625" style="8" hidden="1" customWidth="1"/>
    <col min="12" max="12" width="7.21875" style="8" hidden="1" customWidth="1"/>
    <col min="13" max="13" width="3.6640625" style="15" hidden="1" customWidth="1"/>
    <col min="14" max="15" width="4.5546875" style="15" hidden="1" customWidth="1"/>
    <col min="16" max="16" width="12" style="8" hidden="1" customWidth="1"/>
    <col min="17" max="17" width="3.6640625" style="8" hidden="1" customWidth="1"/>
    <col min="18" max="18" width="4.5546875" style="8" hidden="1" customWidth="1"/>
    <col min="19" max="19" width="5" style="8" hidden="1" customWidth="1"/>
    <col min="20" max="21" width="12" style="8" hidden="1" customWidth="1"/>
    <col min="22" max="22" width="11" style="8" hidden="1" customWidth="1"/>
    <col min="23" max="25" width="12" style="8" hidden="1" customWidth="1"/>
    <col min="26" max="26" width="12.6640625" style="8" hidden="1" customWidth="1"/>
    <col min="27" max="27" width="12" style="8" hidden="1" customWidth="1"/>
    <col min="28" max="28" width="12.6640625" style="8" hidden="1" customWidth="1"/>
    <col min="29" max="29" width="8.88671875" style="8" hidden="1" customWidth="1"/>
    <col min="30" max="16384" width="8.88671875" style="8"/>
  </cols>
  <sheetData>
    <row r="1" spans="1:44" x14ac:dyDescent="0.3">
      <c r="A1" s="22"/>
      <c r="B1" s="4"/>
      <c r="C1" s="4"/>
      <c r="D1" s="4"/>
      <c r="E1" s="4"/>
      <c r="F1" s="4"/>
      <c r="G1" s="4"/>
      <c r="H1" s="5"/>
      <c r="I1" s="5"/>
      <c r="J1" s="5"/>
      <c r="K1" s="4"/>
      <c r="L1" s="4"/>
      <c r="M1" s="6"/>
      <c r="N1" s="6"/>
      <c r="O1" s="6"/>
      <c r="P1" s="7"/>
      <c r="Q1" s="6"/>
      <c r="R1" s="6"/>
      <c r="S1" s="6"/>
      <c r="T1" s="6" t="s">
        <v>10</v>
      </c>
      <c r="U1" s="6" t="s">
        <v>11</v>
      </c>
      <c r="V1" s="6" t="s">
        <v>19</v>
      </c>
      <c r="W1" s="5" t="s">
        <v>22</v>
      </c>
      <c r="X1" s="5" t="s">
        <v>23</v>
      </c>
      <c r="Y1" s="31" t="s">
        <v>10</v>
      </c>
      <c r="Z1" s="31"/>
      <c r="AA1" s="31" t="s">
        <v>11</v>
      </c>
      <c r="AB1" s="31"/>
      <c r="AC1" s="7"/>
      <c r="AD1" s="7"/>
      <c r="AE1" s="7"/>
      <c r="AF1" s="7"/>
      <c r="AG1" s="7"/>
      <c r="AH1" s="7"/>
      <c r="AI1" s="7"/>
      <c r="AJ1" s="7"/>
      <c r="AK1" s="7"/>
      <c r="AL1" s="7"/>
      <c r="AM1" s="7"/>
      <c r="AN1" s="7"/>
      <c r="AO1" s="7"/>
      <c r="AP1" s="7"/>
      <c r="AQ1" s="7"/>
      <c r="AR1" s="7"/>
    </row>
    <row r="2" spans="1:44" x14ac:dyDescent="0.3">
      <c r="A2" s="22" t="s">
        <v>1</v>
      </c>
      <c r="B2" s="4" t="s">
        <v>3</v>
      </c>
      <c r="C2" s="2" t="s">
        <v>4</v>
      </c>
      <c r="D2" s="4"/>
      <c r="E2" s="4"/>
      <c r="F2" s="4"/>
      <c r="G2" s="4"/>
      <c r="H2" s="5" t="s">
        <v>35</v>
      </c>
      <c r="I2" s="5"/>
      <c r="J2" s="5" t="s">
        <v>35</v>
      </c>
      <c r="K2" s="4"/>
      <c r="L2" s="4"/>
      <c r="M2" s="6"/>
      <c r="N2" s="9"/>
      <c r="O2" s="9"/>
      <c r="P2" s="8" t="str">
        <f>IF(AND($H$7&gt;=$R2,$H$7&lt;=$S2),"OK","Not valid")</f>
        <v>OK</v>
      </c>
      <c r="Q2" s="6" t="s">
        <v>25</v>
      </c>
      <c r="R2" s="9">
        <v>2.5</v>
      </c>
      <c r="S2" s="9">
        <v>4.5</v>
      </c>
      <c r="T2" s="6">
        <f>H7*Y2+Z2</f>
        <v>4.6575100715963451</v>
      </c>
      <c r="U2" s="6">
        <f>H7*AA2+AB2</f>
        <v>4.420396781343837</v>
      </c>
      <c r="V2" s="6">
        <v>20</v>
      </c>
      <c r="W2" s="5">
        <f>T2/2</f>
        <v>2.3287550357981726</v>
      </c>
      <c r="X2" s="5">
        <f>U2/2</f>
        <v>2.2101983906719185</v>
      </c>
      <c r="Y2" s="31">
        <v>1.47333114312757</v>
      </c>
      <c r="Z2" s="31">
        <v>-0.49914892935014998</v>
      </c>
      <c r="AA2" s="31">
        <v>1.4674270120019799</v>
      </c>
      <c r="AB2" s="31">
        <v>-0.715597760663092</v>
      </c>
      <c r="AC2" s="7">
        <f>U2/100*(100-V2)</f>
        <v>3.5363174250750697</v>
      </c>
      <c r="AD2" s="7"/>
      <c r="AE2" s="7"/>
      <c r="AF2" s="7"/>
      <c r="AG2" s="7"/>
      <c r="AH2" s="7"/>
      <c r="AI2" s="7"/>
      <c r="AJ2" s="7"/>
      <c r="AK2" s="7"/>
      <c r="AL2" s="7"/>
      <c r="AM2" s="7"/>
      <c r="AN2" s="7"/>
      <c r="AO2" s="7"/>
      <c r="AP2" s="7"/>
      <c r="AQ2" s="7"/>
      <c r="AR2" s="7"/>
    </row>
    <row r="3" spans="1:44" x14ac:dyDescent="0.3">
      <c r="A3" s="22"/>
      <c r="B3" s="4"/>
      <c r="C3" s="4"/>
      <c r="D3" s="4"/>
      <c r="E3" s="4"/>
      <c r="F3" s="4"/>
      <c r="G3" s="4"/>
      <c r="H3" s="5"/>
      <c r="I3" s="5" t="s">
        <v>35</v>
      </c>
      <c r="J3" s="5"/>
      <c r="K3" s="5" t="s">
        <v>35</v>
      </c>
      <c r="L3" s="4"/>
      <c r="M3" s="6"/>
      <c r="N3" s="9"/>
      <c r="O3" s="9"/>
      <c r="P3" s="8" t="str">
        <f t="shared" ref="P3:P5" si="0">IF(AND($H$7&gt;=$R3,$H$7&lt;=$S3),"OK","Not valid")</f>
        <v>OK</v>
      </c>
      <c r="Q3" s="6" t="s">
        <v>4</v>
      </c>
      <c r="R3" s="9">
        <v>2.2000000000000002</v>
      </c>
      <c r="S3" s="9">
        <v>4.8</v>
      </c>
      <c r="T3" s="6">
        <f>H7*Y3+Z3</f>
        <v>3.2457883365</v>
      </c>
      <c r="U3" s="6">
        <f>H7*AA3+AB3</f>
        <v>3.0574877535000002</v>
      </c>
      <c r="V3" s="6">
        <v>20</v>
      </c>
      <c r="W3" s="5">
        <f>T3/2</f>
        <v>1.62289416825</v>
      </c>
      <c r="X3" s="5">
        <f t="shared" ref="X3:X5" si="1">U3/2</f>
        <v>1.5287438767500001</v>
      </c>
      <c r="Y3" s="31">
        <v>0.97923139699999995</v>
      </c>
      <c r="Z3" s="31">
        <v>-0.181521553</v>
      </c>
      <c r="AA3" s="31">
        <v>0.97902782300000002</v>
      </c>
      <c r="AB3" s="31">
        <v>-0.369109627</v>
      </c>
      <c r="AC3" s="7">
        <f t="shared" ref="AC3:AC5" si="2">U3/100*(100-V3)</f>
        <v>2.4459902028</v>
      </c>
      <c r="AD3" s="7"/>
      <c r="AE3" s="7"/>
      <c r="AF3" s="7"/>
      <c r="AG3" s="7"/>
      <c r="AH3" s="7"/>
      <c r="AI3" s="7"/>
      <c r="AJ3" s="7"/>
      <c r="AK3" s="7"/>
      <c r="AL3" s="7"/>
      <c r="AM3" s="7"/>
      <c r="AN3" s="7"/>
      <c r="AO3" s="7"/>
      <c r="AP3" s="7"/>
      <c r="AQ3" s="7"/>
      <c r="AR3" s="7"/>
    </row>
    <row r="4" spans="1:44" x14ac:dyDescent="0.3">
      <c r="A4" s="22"/>
      <c r="B4" s="4"/>
      <c r="C4" s="5" t="s">
        <v>6</v>
      </c>
      <c r="D4" s="5"/>
      <c r="E4" s="5" t="s">
        <v>7</v>
      </c>
      <c r="F4" s="4"/>
      <c r="G4" s="4"/>
      <c r="H4" s="5" t="s">
        <v>6</v>
      </c>
      <c r="I4" s="5"/>
      <c r="J4" s="5" t="s">
        <v>7</v>
      </c>
      <c r="K4" s="4"/>
      <c r="L4" s="4"/>
      <c r="M4" s="6"/>
      <c r="N4" s="6"/>
      <c r="O4" s="6"/>
      <c r="P4" s="8" t="str">
        <f t="shared" si="0"/>
        <v>OK</v>
      </c>
      <c r="Q4" s="6" t="s">
        <v>26</v>
      </c>
      <c r="R4" s="6">
        <v>3.5</v>
      </c>
      <c r="S4" s="6">
        <v>7.5</v>
      </c>
      <c r="T4" s="6">
        <f>H7*Y4+Z4</f>
        <v>2.0024796998924619</v>
      </c>
      <c r="U4" s="6">
        <f>H7*AA4+AB4</f>
        <v>1.8516042214412343</v>
      </c>
      <c r="V4" s="6">
        <v>20</v>
      </c>
      <c r="W4" s="5">
        <f>T4/2</f>
        <v>1.0012398499462309</v>
      </c>
      <c r="X4" s="5">
        <f t="shared" si="1"/>
        <v>0.92580211072061713</v>
      </c>
      <c r="Y4" s="31">
        <v>0.61772714746243396</v>
      </c>
      <c r="Z4" s="31">
        <v>-0.15956531622605699</v>
      </c>
      <c r="AA4" s="31">
        <v>0.62152048363024504</v>
      </c>
      <c r="AB4" s="31">
        <v>-0.32371747126462302</v>
      </c>
      <c r="AC4" s="7">
        <f t="shared" si="2"/>
        <v>1.4812833771529874</v>
      </c>
      <c r="AD4" s="7"/>
      <c r="AE4" s="7"/>
      <c r="AF4" s="7"/>
      <c r="AG4" s="7"/>
      <c r="AH4" s="7"/>
      <c r="AI4" s="7"/>
      <c r="AJ4" s="7"/>
      <c r="AK4" s="7"/>
      <c r="AL4" s="7"/>
      <c r="AM4" s="7"/>
      <c r="AN4" s="7"/>
      <c r="AO4" s="7"/>
      <c r="AP4" s="7"/>
      <c r="AQ4" s="7"/>
      <c r="AR4" s="7"/>
    </row>
    <row r="5" spans="1:44" x14ac:dyDescent="0.3">
      <c r="A5" s="22" t="s">
        <v>5</v>
      </c>
      <c r="B5" s="4" t="s">
        <v>3</v>
      </c>
      <c r="C5" s="10">
        <f>IF($C$2&lt;&gt;"",$H$5*VLOOKUP($D7,X11:Z15,3,FALSE),"-")</f>
        <v>2.2000000000000002</v>
      </c>
      <c r="D5" s="11" t="s">
        <v>21</v>
      </c>
      <c r="E5" s="10">
        <f>IF($C$2&lt;&gt;"",$J$5*VLOOKUP($D7,X11:Z15,3,FALSE),"-")</f>
        <v>4.8</v>
      </c>
      <c r="F5" s="12"/>
      <c r="G5" s="4"/>
      <c r="H5" s="10">
        <f>IF($C$2&lt;&gt;"",VLOOKUP($C$2,$Q$2:$U$5,2,FALSE),"")</f>
        <v>2.2000000000000002</v>
      </c>
      <c r="I5" s="11" t="s">
        <v>21</v>
      </c>
      <c r="J5" s="10">
        <f>IF($C$2&lt;&gt;"",VLOOKUP(C2,$Q$2:$U$5,3,FALSE),"")</f>
        <v>4.8</v>
      </c>
      <c r="K5" s="4" t="s">
        <v>13</v>
      </c>
      <c r="L5" s="4"/>
      <c r="M5" s="6"/>
      <c r="N5" s="6"/>
      <c r="O5" s="6"/>
      <c r="P5" s="8" t="str">
        <f t="shared" si="0"/>
        <v>Not valid</v>
      </c>
      <c r="Q5" s="6" t="s">
        <v>24</v>
      </c>
      <c r="R5" s="6">
        <v>7</v>
      </c>
      <c r="S5" s="6">
        <v>15.5</v>
      </c>
      <c r="T5" s="6">
        <f>H7*Y5+Z5</f>
        <v>0.92410616499999998</v>
      </c>
      <c r="U5" s="6">
        <f>H7*AA5+AB5</f>
        <v>0.87403848399999995</v>
      </c>
      <c r="V5" s="6">
        <v>20</v>
      </c>
      <c r="W5" s="5">
        <f>T5/2</f>
        <v>0.46205308249999999</v>
      </c>
      <c r="X5" s="5">
        <f t="shared" si="1"/>
        <v>0.43701924199999997</v>
      </c>
      <c r="Y5" s="31">
        <v>0.28538741000000001</v>
      </c>
      <c r="Z5" s="31">
        <v>-7.4749769999999993E-2</v>
      </c>
      <c r="AA5" s="31">
        <v>0.28890355000000001</v>
      </c>
      <c r="AB5" s="31">
        <v>-0.137123941</v>
      </c>
      <c r="AC5" s="7">
        <f t="shared" si="2"/>
        <v>0.69923078719999987</v>
      </c>
      <c r="AD5" s="7"/>
      <c r="AE5" s="7"/>
      <c r="AF5" s="7"/>
      <c r="AG5" s="7"/>
      <c r="AH5" s="7"/>
      <c r="AI5" s="7"/>
      <c r="AJ5" s="7"/>
      <c r="AK5" s="7"/>
      <c r="AL5" s="7"/>
      <c r="AM5" s="7"/>
      <c r="AN5" s="7"/>
      <c r="AO5" s="7"/>
      <c r="AP5" s="7"/>
      <c r="AQ5" s="7"/>
      <c r="AR5" s="7"/>
    </row>
    <row r="6" spans="1:44" x14ac:dyDescent="0.3">
      <c r="A6" s="22"/>
      <c r="B6" s="4"/>
      <c r="C6" s="5"/>
      <c r="D6" s="5"/>
      <c r="E6" s="5"/>
      <c r="F6" s="4"/>
      <c r="G6" s="4"/>
      <c r="H6" s="5"/>
      <c r="I6" s="5"/>
      <c r="J6" s="5"/>
      <c r="K6" s="4"/>
      <c r="L6" s="4"/>
      <c r="M6" s="6"/>
      <c r="N6" s="6"/>
      <c r="O6" s="6"/>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row>
    <row r="7" spans="1:44" x14ac:dyDescent="0.3">
      <c r="A7" s="22" t="s">
        <v>0</v>
      </c>
      <c r="B7" s="4" t="s">
        <v>3</v>
      </c>
      <c r="C7" s="3">
        <v>3.5</v>
      </c>
      <c r="D7" s="30" t="s">
        <v>13</v>
      </c>
      <c r="E7" s="12"/>
      <c r="F7" s="4"/>
      <c r="G7" s="4"/>
      <c r="H7" s="27">
        <f>IF(AND($C$2&lt;&gt;"", $C$7&lt;&gt;""),$C$7*VLOOKUP($D$7,$X$11:$Z$15,2,FALSE),"")</f>
        <v>3.5</v>
      </c>
      <c r="I7" s="12" t="s">
        <v>13</v>
      </c>
      <c r="J7" s="22" t="s">
        <v>41</v>
      </c>
      <c r="K7" s="12" t="b">
        <f>NOT(ISERROR(H7))</f>
        <v>1</v>
      </c>
      <c r="L7" s="4"/>
      <c r="M7" s="6"/>
      <c r="N7" s="6"/>
      <c r="O7" s="6"/>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row>
    <row r="8" spans="1:44" x14ac:dyDescent="0.3">
      <c r="A8" s="22"/>
      <c r="B8" s="4"/>
      <c r="C8" s="13"/>
      <c r="D8" s="13"/>
      <c r="E8" s="12"/>
      <c r="F8" s="4"/>
      <c r="G8" s="4"/>
      <c r="H8" s="13"/>
      <c r="I8" s="13"/>
      <c r="J8" s="12"/>
      <c r="K8" s="4"/>
      <c r="L8" s="4"/>
      <c r="M8" s="6"/>
      <c r="N8" s="6"/>
      <c r="O8" s="6"/>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row>
    <row r="9" spans="1:44" x14ac:dyDescent="0.3">
      <c r="A9" s="22"/>
      <c r="B9" s="4"/>
      <c r="C9" s="5"/>
      <c r="D9" s="5"/>
      <c r="E9" s="12"/>
      <c r="F9" s="4"/>
      <c r="G9" s="4"/>
      <c r="H9" s="5"/>
      <c r="I9" s="5"/>
      <c r="J9" s="12"/>
      <c r="K9" s="4"/>
      <c r="L9" s="4"/>
      <c r="M9" s="6"/>
      <c r="N9" s="6"/>
      <c r="O9" s="6"/>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44" x14ac:dyDescent="0.3">
      <c r="A10" s="22" t="s">
        <v>20</v>
      </c>
      <c r="B10" s="4" t="s">
        <v>3</v>
      </c>
      <c r="C10" s="10">
        <f>IF($H$10&lt;&gt;"",$H$10*VLOOKUP($D$12,$X$11:$Z$15,3,FALSE),"-")</f>
        <v>2.4459902028</v>
      </c>
      <c r="D10" s="11" t="s">
        <v>21</v>
      </c>
      <c r="E10" s="10">
        <f>IF($H$12&lt;&gt;"",$H$12*VLOOKUP($D$12,$X$11:$Z$15,3,FALSE),"-")</f>
        <v>3.0574877535000002</v>
      </c>
      <c r="F10" s="12"/>
      <c r="G10" s="4"/>
      <c r="H10" s="10">
        <f>IF(K7,IF(AND(H7&lt;&gt;"",H7&gt;=H5, H7&lt;=J5),VLOOKUP(C2,$Q$2:$AC$5,13,FALSE),""),"")</f>
        <v>2.4459902028</v>
      </c>
      <c r="I10" s="11" t="s">
        <v>21</v>
      </c>
      <c r="J10" s="10">
        <f>IF(K7,IF(AND(H7&lt;&gt;"",H7&gt;=H5, H7&lt;=J5), VLOOKUP(C2,$Q$2:$AB$5,5,FALSE),""),"")</f>
        <v>3.0574877535000002</v>
      </c>
      <c r="K10" s="4" t="s">
        <v>13</v>
      </c>
      <c r="L10" s="4"/>
      <c r="M10" s="6"/>
      <c r="N10" s="6"/>
      <c r="O10" s="6"/>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row>
    <row r="11" spans="1:44" ht="15" thickBot="1" x14ac:dyDescent="0.35">
      <c r="A11" s="22"/>
      <c r="B11" s="4"/>
      <c r="C11" s="5"/>
      <c r="D11" s="5"/>
      <c r="E11" s="12"/>
      <c r="F11" s="4"/>
      <c r="G11" s="4"/>
      <c r="H11" s="5"/>
      <c r="I11" s="5"/>
      <c r="J11" s="12"/>
      <c r="K11" s="4"/>
      <c r="L11" s="4"/>
      <c r="M11" s="6"/>
      <c r="N11" s="6"/>
      <c r="O11" s="6"/>
      <c r="P11" s="7"/>
      <c r="Q11" s="7"/>
      <c r="R11" s="7"/>
      <c r="S11" s="7"/>
      <c r="T11" s="7"/>
      <c r="U11" s="7"/>
      <c r="V11" s="7"/>
      <c r="W11" s="7"/>
      <c r="X11" s="7" t="s">
        <v>31</v>
      </c>
      <c r="Y11" s="7">
        <v>1E-3</v>
      </c>
      <c r="Z11" s="7">
        <v>1000</v>
      </c>
      <c r="AA11" s="7"/>
      <c r="AB11" s="7"/>
      <c r="AC11" s="7"/>
      <c r="AD11" s="7"/>
      <c r="AE11" s="7"/>
      <c r="AF11" s="7"/>
      <c r="AG11" s="7"/>
      <c r="AH11" s="7"/>
      <c r="AI11" s="7"/>
      <c r="AJ11" s="7"/>
      <c r="AK11" s="7"/>
      <c r="AL11" s="7"/>
      <c r="AM11" s="7"/>
      <c r="AN11" s="7"/>
      <c r="AO11" s="7"/>
      <c r="AP11" s="7"/>
      <c r="AQ11" s="7"/>
      <c r="AR11" s="7"/>
    </row>
    <row r="12" spans="1:44" ht="15" thickBot="1" x14ac:dyDescent="0.35">
      <c r="A12" s="22" t="s">
        <v>18</v>
      </c>
      <c r="B12" s="4" t="s">
        <v>3</v>
      </c>
      <c r="C12" s="14">
        <f>IF($H$12&lt;&gt;"",$H$12*VLOOKUP($D$12,$X$11:$Z$15,3,FALSE),"-")</f>
        <v>3.0574877535000002</v>
      </c>
      <c r="D12" s="30" t="s">
        <v>13</v>
      </c>
      <c r="E12" s="12"/>
      <c r="F12" s="4"/>
      <c r="G12" s="4"/>
      <c r="H12" s="14">
        <f>IF(K7,IF(AND(H7&lt;&gt;"",H7&gt;=H5, H7&lt;=J5), VLOOKUP(C2,$Q$2:$AB$5,5,FALSE),""),"")</f>
        <v>3.0574877535000002</v>
      </c>
      <c r="I12" s="12" t="s">
        <v>13</v>
      </c>
      <c r="J12" s="12"/>
      <c r="K12" s="4"/>
      <c r="L12" s="4"/>
      <c r="M12" s="6"/>
      <c r="N12" s="6"/>
      <c r="O12" s="6"/>
      <c r="P12" s="7"/>
      <c r="Q12" s="7"/>
      <c r="R12" s="7"/>
      <c r="S12" s="7"/>
      <c r="T12" s="7"/>
      <c r="U12" s="7"/>
      <c r="V12" s="7"/>
      <c r="W12" s="7"/>
      <c r="X12" s="7" t="s">
        <v>32</v>
      </c>
      <c r="Y12" s="7">
        <v>0.01</v>
      </c>
      <c r="Z12" s="7">
        <v>100</v>
      </c>
      <c r="AA12" s="7"/>
      <c r="AB12" s="7"/>
      <c r="AC12" s="7"/>
      <c r="AD12" s="7"/>
      <c r="AE12" s="7"/>
      <c r="AF12" s="7"/>
      <c r="AG12" s="7"/>
      <c r="AH12" s="7"/>
      <c r="AI12" s="7"/>
      <c r="AJ12" s="7"/>
      <c r="AK12" s="7"/>
      <c r="AL12" s="7"/>
      <c r="AM12" s="7"/>
      <c r="AN12" s="7"/>
      <c r="AO12" s="7"/>
      <c r="AP12" s="7"/>
      <c r="AQ12" s="7"/>
      <c r="AR12" s="7"/>
    </row>
    <row r="13" spans="1:44" x14ac:dyDescent="0.3">
      <c r="A13" s="22"/>
      <c r="B13" s="4"/>
      <c r="C13" s="4"/>
      <c r="D13" s="4"/>
      <c r="E13" s="4"/>
      <c r="F13" s="4"/>
      <c r="G13" s="4"/>
      <c r="H13" s="5"/>
      <c r="I13" s="5"/>
      <c r="J13" s="5"/>
      <c r="K13" s="4"/>
      <c r="L13" s="4"/>
      <c r="M13" s="6"/>
      <c r="N13" s="6"/>
      <c r="O13" s="6"/>
      <c r="P13" s="7"/>
      <c r="Q13" s="7"/>
      <c r="R13" s="7"/>
      <c r="S13" s="7"/>
      <c r="T13" s="7"/>
      <c r="U13" s="7"/>
      <c r="V13" s="7"/>
      <c r="W13" s="7"/>
      <c r="X13" s="7" t="s">
        <v>13</v>
      </c>
      <c r="Y13" s="7">
        <v>1</v>
      </c>
      <c r="Z13" s="7">
        <v>1</v>
      </c>
      <c r="AA13" s="7"/>
      <c r="AB13" s="7"/>
      <c r="AC13" s="7"/>
      <c r="AD13" s="7"/>
      <c r="AE13" s="7"/>
      <c r="AF13" s="7"/>
      <c r="AG13" s="7"/>
      <c r="AH13" s="7"/>
      <c r="AI13" s="7"/>
      <c r="AJ13" s="7"/>
      <c r="AK13" s="7"/>
      <c r="AL13" s="7"/>
      <c r="AM13" s="7"/>
      <c r="AN13" s="7"/>
      <c r="AO13" s="7"/>
      <c r="AP13" s="7"/>
      <c r="AQ13" s="7"/>
      <c r="AR13" s="7"/>
    </row>
    <row r="14" spans="1:44" x14ac:dyDescent="0.3">
      <c r="A14" s="22"/>
      <c r="B14" s="4"/>
      <c r="C14" s="4"/>
      <c r="D14" s="4"/>
      <c r="E14" s="4"/>
      <c r="F14" s="4"/>
      <c r="G14" s="4"/>
      <c r="H14" s="5"/>
      <c r="I14" s="5"/>
      <c r="J14" s="5"/>
      <c r="K14" s="4"/>
      <c r="L14" s="4"/>
      <c r="M14" s="6"/>
      <c r="N14" s="6"/>
      <c r="O14" s="6"/>
      <c r="P14" s="7"/>
      <c r="Q14" s="7"/>
      <c r="R14" s="7"/>
      <c r="S14" s="7"/>
      <c r="T14" s="7"/>
      <c r="U14" s="7"/>
      <c r="V14" s="7"/>
      <c r="W14" s="7"/>
      <c r="X14" s="7" t="s">
        <v>33</v>
      </c>
      <c r="Y14" s="7">
        <v>0.30480000000000002</v>
      </c>
      <c r="Z14" s="7">
        <v>3.28084</v>
      </c>
      <c r="AA14" s="7"/>
      <c r="AB14" s="7"/>
      <c r="AC14" s="7"/>
      <c r="AD14" s="7"/>
      <c r="AE14" s="7"/>
      <c r="AF14" s="7"/>
      <c r="AG14" s="7"/>
      <c r="AH14" s="7"/>
      <c r="AI14" s="7"/>
      <c r="AJ14" s="7"/>
      <c r="AK14" s="7"/>
      <c r="AL14" s="7"/>
      <c r="AM14" s="7"/>
      <c r="AN14" s="7"/>
      <c r="AO14" s="7"/>
      <c r="AP14" s="7"/>
      <c r="AQ14" s="7"/>
      <c r="AR14" s="7"/>
    </row>
    <row r="15" spans="1:44" x14ac:dyDescent="0.3">
      <c r="A15" s="22" t="s">
        <v>36</v>
      </c>
      <c r="B15" s="5" t="s">
        <v>3</v>
      </c>
      <c r="C15" s="35" t="str">
        <f>IF(AND($C$2="",$C$7=""),"Choose a Lens Variant and a Mounting Height",IF($C$2="","Choose a Lens Variant",IF($C$7="","Enter a Mounting Height",IF(NOT(K7),"Invalid entry for Mounting Height",IF(H7&gt;16,"Mounting Height too High for ANY Lens Variant",IF($C$7&lt;$C$5,"Mounting Height too Low for chosen Lens Variant",IF($C$7&gt;$E$5,"Mounting Height too High for chosen Lens Variant","")))))))</f>
        <v/>
      </c>
      <c r="D15" s="36"/>
      <c r="E15" s="36"/>
      <c r="F15" s="37"/>
      <c r="G15" s="4"/>
      <c r="H15" s="5"/>
      <c r="I15" s="5"/>
      <c r="J15" s="5"/>
      <c r="K15" s="4"/>
      <c r="L15" s="4"/>
      <c r="M15" s="6"/>
      <c r="N15" s="6"/>
      <c r="O15" s="6"/>
      <c r="P15" s="7"/>
      <c r="Q15" s="7"/>
      <c r="R15" s="7"/>
      <c r="S15" s="7"/>
      <c r="T15" s="7"/>
      <c r="U15" s="7"/>
      <c r="V15" s="7"/>
      <c r="W15" s="7"/>
      <c r="X15" s="7" t="s">
        <v>34</v>
      </c>
      <c r="Y15" s="7">
        <v>2.5399999999999999E-2</v>
      </c>
      <c r="Z15" s="7">
        <v>39.370100000000001</v>
      </c>
      <c r="AA15" s="7"/>
      <c r="AB15" s="7"/>
      <c r="AC15" s="7"/>
      <c r="AD15" s="7"/>
      <c r="AE15" s="7"/>
      <c r="AF15" s="7"/>
      <c r="AG15" s="7"/>
      <c r="AH15" s="7"/>
      <c r="AI15" s="7"/>
      <c r="AJ15" s="7"/>
      <c r="AK15" s="7"/>
      <c r="AL15" s="7"/>
      <c r="AM15" s="7"/>
      <c r="AN15" s="7"/>
      <c r="AO15" s="7"/>
      <c r="AP15" s="7"/>
      <c r="AQ15" s="7"/>
      <c r="AR15" s="7"/>
    </row>
    <row r="16" spans="1:44" x14ac:dyDescent="0.3">
      <c r="A16" s="22"/>
      <c r="B16" s="5"/>
      <c r="C16" s="38"/>
      <c r="D16" s="39"/>
      <c r="E16" s="39"/>
      <c r="F16" s="40"/>
      <c r="G16" s="4"/>
      <c r="H16" s="5"/>
      <c r="I16" s="5"/>
      <c r="J16" s="5"/>
      <c r="K16" s="4"/>
      <c r="L16" s="4"/>
      <c r="M16" s="6"/>
      <c r="N16" s="6"/>
      <c r="O16" s="6"/>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row>
    <row r="17" spans="1:44" x14ac:dyDescent="0.3">
      <c r="A17" s="22"/>
      <c r="B17" s="5"/>
      <c r="C17" s="41"/>
      <c r="D17" s="42"/>
      <c r="E17" s="42"/>
      <c r="F17" s="43"/>
      <c r="G17" s="4"/>
      <c r="H17" s="5"/>
      <c r="I17" s="5"/>
      <c r="J17" s="5"/>
      <c r="K17" s="4"/>
      <c r="L17" s="4"/>
      <c r="M17" s="6"/>
      <c r="N17" s="6"/>
      <c r="O17" s="6"/>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row>
    <row r="18" spans="1:44" x14ac:dyDescent="0.3">
      <c r="A18" s="22"/>
      <c r="B18" s="4"/>
      <c r="C18" s="4"/>
      <c r="D18" s="4"/>
      <c r="E18" s="4"/>
      <c r="F18" s="4"/>
      <c r="G18" s="4"/>
      <c r="H18" s="5"/>
      <c r="I18" s="5"/>
      <c r="J18" s="5"/>
      <c r="K18" s="4"/>
      <c r="L18" s="4"/>
      <c r="M18" s="6"/>
      <c r="N18" s="6"/>
      <c r="O18" s="6"/>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row>
    <row r="19" spans="1:44" x14ac:dyDescent="0.3">
      <c r="A19" s="22"/>
      <c r="B19" s="4"/>
      <c r="C19" s="4"/>
      <c r="D19" s="4"/>
      <c r="E19" s="4"/>
      <c r="F19" s="4"/>
      <c r="G19" s="4"/>
      <c r="H19" s="5"/>
      <c r="I19" s="5"/>
      <c r="J19" s="5"/>
      <c r="K19" s="4"/>
      <c r="L19" s="4"/>
      <c r="M19" s="6"/>
      <c r="N19" s="6"/>
      <c r="O19" s="6"/>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row>
    <row r="20" spans="1:44" x14ac:dyDescent="0.3">
      <c r="A20" s="23"/>
      <c r="B20" s="7"/>
      <c r="C20" s="7"/>
      <c r="D20" s="7"/>
      <c r="E20" s="7"/>
      <c r="F20" s="7"/>
      <c r="G20" s="7"/>
      <c r="H20" s="6"/>
      <c r="I20" s="6"/>
      <c r="J20" s="6"/>
      <c r="K20" s="7"/>
      <c r="L20" s="7"/>
      <c r="M20" s="6"/>
      <c r="N20" s="6"/>
      <c r="O20" s="6"/>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row>
    <row r="21" spans="1:44" x14ac:dyDescent="0.3">
      <c r="A21" s="23"/>
      <c r="B21" s="7"/>
      <c r="C21" s="7"/>
      <c r="D21" s="7"/>
      <c r="E21" s="7"/>
      <c r="F21" s="7"/>
      <c r="G21" s="7"/>
      <c r="H21" s="6"/>
      <c r="I21" s="6"/>
      <c r="J21" s="6"/>
      <c r="K21" s="7"/>
      <c r="L21" s="7"/>
      <c r="M21" s="6"/>
      <c r="N21" s="6"/>
      <c r="O21" s="6"/>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row>
    <row r="22" spans="1:44" x14ac:dyDescent="0.3">
      <c r="A22" s="23"/>
      <c r="B22" s="7"/>
      <c r="C22" s="7"/>
      <c r="D22" s="7"/>
      <c r="E22" s="7"/>
      <c r="F22" s="7"/>
      <c r="G22" s="7"/>
      <c r="H22" s="6"/>
      <c r="I22" s="6"/>
      <c r="J22" s="6"/>
      <c r="K22" s="7"/>
      <c r="L22" s="7"/>
      <c r="M22" s="6"/>
      <c r="N22" s="6"/>
      <c r="O22" s="6"/>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row>
    <row r="23" spans="1:44" x14ac:dyDescent="0.3">
      <c r="A23" s="23"/>
      <c r="B23" s="7"/>
      <c r="C23" s="7"/>
      <c r="D23" s="7"/>
      <c r="E23" s="7"/>
      <c r="F23" s="7"/>
      <c r="G23" s="7"/>
      <c r="H23" s="6"/>
      <c r="I23" s="6"/>
      <c r="J23" s="6"/>
      <c r="K23" s="7"/>
      <c r="L23" s="7"/>
      <c r="M23" s="6"/>
      <c r="N23" s="6"/>
      <c r="O23" s="6"/>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row>
    <row r="24" spans="1:44" x14ac:dyDescent="0.3">
      <c r="A24" s="23"/>
      <c r="B24" s="7"/>
      <c r="C24" s="7"/>
      <c r="D24" s="7"/>
      <c r="E24" s="7"/>
      <c r="F24" s="7"/>
      <c r="G24" s="7"/>
      <c r="H24" s="6"/>
      <c r="I24" s="6"/>
      <c r="J24" s="6"/>
      <c r="K24" s="7"/>
      <c r="L24" s="7"/>
      <c r="M24" s="6"/>
      <c r="N24" s="6"/>
      <c r="O24" s="6"/>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row>
    <row r="25" spans="1:44" x14ac:dyDescent="0.3">
      <c r="A25" s="23"/>
      <c r="B25" s="7"/>
      <c r="C25" s="7"/>
      <c r="D25" s="7"/>
      <c r="E25" s="7"/>
      <c r="F25" s="7"/>
      <c r="G25" s="7"/>
      <c r="H25" s="6"/>
      <c r="I25" s="6"/>
      <c r="J25" s="6"/>
      <c r="K25" s="7"/>
      <c r="L25" s="7"/>
      <c r="M25" s="6"/>
      <c r="N25" s="6"/>
      <c r="O25" s="6"/>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row>
    <row r="26" spans="1:44" x14ac:dyDescent="0.3">
      <c r="A26" s="23"/>
      <c r="B26" s="7"/>
      <c r="C26" s="7"/>
      <c r="D26" s="7"/>
      <c r="E26" s="7"/>
      <c r="F26" s="7"/>
      <c r="G26" s="7"/>
      <c r="H26" s="6"/>
      <c r="I26" s="6"/>
      <c r="J26" s="6"/>
      <c r="K26" s="7"/>
      <c r="L26" s="7"/>
      <c r="M26" s="6"/>
      <c r="N26" s="6"/>
      <c r="O26" s="6"/>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row>
    <row r="27" spans="1:44" x14ac:dyDescent="0.3">
      <c r="A27" s="23"/>
      <c r="B27" s="7"/>
      <c r="C27" s="7"/>
      <c r="D27" s="7"/>
      <c r="E27" s="7"/>
      <c r="F27" s="7"/>
      <c r="G27" s="7"/>
      <c r="H27" s="6"/>
      <c r="I27" s="6"/>
      <c r="J27" s="6"/>
      <c r="K27" s="7"/>
      <c r="L27" s="7"/>
      <c r="M27" s="6"/>
      <c r="N27" s="6"/>
      <c r="O27" s="6"/>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row>
    <row r="28" spans="1:44" x14ac:dyDescent="0.3">
      <c r="A28" s="23"/>
      <c r="B28" s="7"/>
      <c r="C28" s="7"/>
      <c r="D28" s="7"/>
      <c r="E28" s="7"/>
      <c r="F28" s="7"/>
      <c r="G28" s="7"/>
      <c r="H28" s="6"/>
      <c r="I28" s="6"/>
      <c r="J28" s="6"/>
      <c r="K28" s="7"/>
      <c r="L28" s="7"/>
      <c r="M28" s="6"/>
      <c r="N28" s="6"/>
      <c r="O28" s="6"/>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row>
    <row r="29" spans="1:44" x14ac:dyDescent="0.3">
      <c r="A29" s="23"/>
      <c r="B29" s="7"/>
      <c r="C29" s="7"/>
      <c r="D29" s="7"/>
      <c r="E29" s="7"/>
      <c r="F29" s="7"/>
      <c r="G29" s="7"/>
      <c r="H29" s="6"/>
      <c r="I29" s="6"/>
      <c r="J29" s="6"/>
      <c r="K29" s="7"/>
      <c r="L29" s="7"/>
      <c r="M29" s="6"/>
      <c r="N29" s="6"/>
      <c r="O29" s="6"/>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row>
    <row r="30" spans="1:44" x14ac:dyDescent="0.3">
      <c r="A30" s="23"/>
      <c r="B30" s="7"/>
      <c r="C30" s="7"/>
      <c r="D30" s="7"/>
      <c r="E30" s="7"/>
      <c r="F30" s="7"/>
      <c r="G30" s="7"/>
      <c r="H30" s="6"/>
      <c r="I30" s="6"/>
      <c r="J30" s="6"/>
      <c r="K30" s="7"/>
      <c r="L30" s="7"/>
      <c r="M30" s="6"/>
      <c r="N30" s="6"/>
      <c r="O30" s="6"/>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row>
    <row r="31" spans="1:44" x14ac:dyDescent="0.3">
      <c r="A31" s="23"/>
      <c r="B31" s="7"/>
      <c r="C31" s="7"/>
      <c r="D31" s="7"/>
      <c r="E31" s="7"/>
      <c r="F31" s="7"/>
      <c r="G31" s="7"/>
      <c r="H31" s="6"/>
      <c r="I31" s="6"/>
      <c r="J31" s="6"/>
      <c r="K31" s="7"/>
      <c r="L31" s="7"/>
      <c r="M31" s="6"/>
      <c r="N31" s="6"/>
      <c r="O31" s="6"/>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row>
    <row r="32" spans="1:44" x14ac:dyDescent="0.3">
      <c r="A32" s="23"/>
      <c r="B32" s="7"/>
      <c r="C32" s="7"/>
      <c r="D32" s="7"/>
      <c r="E32" s="7"/>
      <c r="F32" s="7"/>
      <c r="G32" s="7"/>
      <c r="H32" s="6"/>
      <c r="I32" s="6"/>
      <c r="J32" s="6"/>
      <c r="K32" s="7"/>
      <c r="L32" s="7"/>
      <c r="M32" s="6"/>
      <c r="N32" s="6"/>
      <c r="O32" s="6"/>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row>
    <row r="33" spans="1:44" x14ac:dyDescent="0.3">
      <c r="A33" s="23"/>
      <c r="B33" s="7"/>
      <c r="C33" s="7"/>
      <c r="D33" s="7"/>
      <c r="E33" s="7"/>
      <c r="F33" s="7"/>
      <c r="G33" s="7"/>
      <c r="H33" s="6"/>
      <c r="I33" s="6"/>
      <c r="J33" s="6"/>
      <c r="K33" s="7"/>
      <c r="L33" s="7"/>
      <c r="M33" s="6"/>
      <c r="N33" s="6"/>
      <c r="O33" s="6"/>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row>
    <row r="34" spans="1:44" x14ac:dyDescent="0.3">
      <c r="A34" s="23"/>
      <c r="B34" s="7"/>
      <c r="C34" s="7"/>
      <c r="D34" s="7"/>
      <c r="E34" s="7"/>
      <c r="F34" s="7"/>
      <c r="G34" s="7"/>
      <c r="H34" s="6"/>
      <c r="I34" s="6"/>
      <c r="J34" s="6"/>
      <c r="K34" s="7"/>
      <c r="L34" s="7"/>
      <c r="M34" s="6"/>
      <c r="N34" s="6"/>
      <c r="O34" s="6"/>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row>
    <row r="35" spans="1:44" x14ac:dyDescent="0.3">
      <c r="A35" s="23"/>
      <c r="B35" s="7"/>
      <c r="C35" s="7"/>
      <c r="D35" s="7"/>
      <c r="E35" s="7"/>
      <c r="F35" s="7"/>
      <c r="G35" s="7"/>
      <c r="H35" s="6"/>
      <c r="I35" s="6"/>
      <c r="J35" s="6"/>
      <c r="K35" s="7"/>
      <c r="L35" s="7"/>
      <c r="M35" s="6"/>
      <c r="N35" s="6"/>
      <c r="O35" s="6"/>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row>
    <row r="36" spans="1:44" x14ac:dyDescent="0.3">
      <c r="A36" s="23"/>
      <c r="B36" s="7"/>
      <c r="C36" s="7"/>
      <c r="D36" s="7"/>
      <c r="E36" s="7"/>
      <c r="F36" s="7"/>
      <c r="G36" s="7"/>
      <c r="H36" s="6"/>
      <c r="I36" s="6"/>
      <c r="J36" s="6"/>
      <c r="K36" s="7"/>
      <c r="L36" s="7"/>
      <c r="M36" s="6"/>
      <c r="N36" s="6"/>
      <c r="O36" s="6"/>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row>
    <row r="37" spans="1:44" x14ac:dyDescent="0.3">
      <c r="A37" s="23"/>
      <c r="B37" s="7"/>
      <c r="C37" s="7"/>
      <c r="D37" s="7"/>
      <c r="E37" s="7"/>
      <c r="F37" s="7"/>
      <c r="G37" s="7"/>
      <c r="H37" s="6"/>
      <c r="I37" s="6"/>
      <c r="J37" s="6"/>
      <c r="K37" s="7"/>
      <c r="L37" s="7"/>
      <c r="M37" s="6"/>
      <c r="N37" s="6"/>
      <c r="O37" s="6"/>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row>
  </sheetData>
  <sheetProtection algorithmName="SHA-512" hashValue="/VG+icEtxgys6syAGM2+b3xrpB+1Dx3qG2zvlqxsyO+P62CQla/A8p9bhsaVONb4kzE7DtDkyAJ1/d8tbLwwbQ==" saltValue="/sl9PL0WQeCrzHmCmfJPtw==" spinCount="100000" sheet="1" objects="1" scenarios="1" selectLockedCells="1"/>
  <mergeCells count="1">
    <mergeCell ref="C15:F17"/>
  </mergeCells>
  <conditionalFormatting sqref="C2">
    <cfRule type="expression" dxfId="8" priority="3">
      <formula>$C$2=""</formula>
    </cfRule>
  </conditionalFormatting>
  <conditionalFormatting sqref="C7">
    <cfRule type="expression" dxfId="7" priority="1" stopIfTrue="1">
      <formula>$C$7=""</formula>
    </cfRule>
    <cfRule type="expression" dxfId="6" priority="2">
      <formula>OR(AND($C$5&lt;&gt;"-",$C$7&lt;$C$5),AND($E$5&lt;&gt;"-",$C$7&gt;$E$5))</formula>
    </cfRule>
  </conditionalFormatting>
  <dataValidations count="4">
    <dataValidation type="decimal" allowBlank="1" showInputMessage="1" showErrorMessage="1" sqref="C8:D8 H8:I8">
      <formula1>C6</formula1>
      <formula2>E6</formula2>
    </dataValidation>
    <dataValidation type="list" allowBlank="1" showInputMessage="1" showErrorMessage="1" sqref="I2">
      <formula1>Lens</formula1>
    </dataValidation>
    <dataValidation type="list" allowBlank="1" showInputMessage="1" showErrorMessage="1" sqref="C2">
      <formula1>$Q$2:$Q$5</formula1>
    </dataValidation>
    <dataValidation type="list" allowBlank="1" showInputMessage="1" showErrorMessage="1" sqref="D12 D7">
      <formula1>$X$11:$X$15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39997558519241921"/>
  </sheetPr>
  <dimension ref="A1:AS37"/>
  <sheetViews>
    <sheetView workbookViewId="0">
      <selection activeCell="C2" sqref="C2"/>
    </sheetView>
  </sheetViews>
  <sheetFormatPr defaultRowHeight="14.4" x14ac:dyDescent="0.3"/>
  <cols>
    <col min="1" max="1" width="27.33203125" style="24" bestFit="1" customWidth="1"/>
    <col min="2" max="2" width="1.5546875" style="8" bestFit="1" customWidth="1"/>
    <col min="3" max="3" width="10.21875" style="8" customWidth="1"/>
    <col min="4" max="4" width="6.109375" style="8" bestFit="1" customWidth="1"/>
    <col min="5" max="5" width="10.21875" style="8" customWidth="1"/>
    <col min="6" max="6" width="6.109375" style="8" bestFit="1" customWidth="1"/>
    <col min="7" max="7" width="10.21875" style="8" customWidth="1"/>
    <col min="8" max="8" width="6.109375" style="8" bestFit="1" customWidth="1"/>
    <col min="9" max="9" width="10.21875" style="8" customWidth="1"/>
    <col min="10" max="10" width="6.109375" style="8" bestFit="1" customWidth="1"/>
    <col min="11" max="11" width="7.21875" style="8" hidden="1" customWidth="1"/>
    <col min="12" max="12" width="2.5546875" style="8" hidden="1" customWidth="1"/>
    <col min="13" max="13" width="7.21875" style="8" hidden="1" customWidth="1"/>
    <col min="14" max="14" width="6.44140625" style="8" hidden="1" customWidth="1"/>
    <col min="15" max="15" width="7.44140625" style="8" hidden="1" customWidth="1"/>
    <col min="16" max="16" width="2.5546875" style="8" hidden="1" customWidth="1"/>
    <col min="17" max="17" width="7.21875" style="8" hidden="1" customWidth="1"/>
    <col min="18" max="18" width="5.77734375" style="8" hidden="1" customWidth="1"/>
    <col min="19" max="21" width="0" style="8" hidden="1" customWidth="1"/>
    <col min="22" max="22" width="3.6640625" style="8" hidden="1" customWidth="1"/>
    <col min="23" max="23" width="4.5546875" style="8" hidden="1" customWidth="1"/>
    <col min="24" max="24" width="5" style="8" hidden="1" customWidth="1"/>
    <col min="25" max="26" width="12" style="8" hidden="1" customWidth="1"/>
    <col min="27" max="27" width="11" style="8" hidden="1" customWidth="1"/>
    <col min="28" max="30" width="12" style="8" hidden="1" customWidth="1"/>
    <col min="31" max="31" width="12.6640625" style="8" hidden="1" customWidth="1"/>
    <col min="32" max="32" width="12" style="8" hidden="1" customWidth="1"/>
    <col min="33" max="33" width="12.6640625" style="8" hidden="1" customWidth="1"/>
    <col min="34" max="34" width="8.88671875" style="8" customWidth="1"/>
    <col min="35" max="16384" width="8.88671875" style="8"/>
  </cols>
  <sheetData>
    <row r="1" spans="1:45" x14ac:dyDescent="0.3">
      <c r="A1" s="22"/>
      <c r="B1" s="4"/>
      <c r="C1" s="5" t="s">
        <v>39</v>
      </c>
      <c r="D1" s="4"/>
      <c r="E1" s="4"/>
      <c r="F1" s="4"/>
      <c r="G1" s="5" t="s">
        <v>40</v>
      </c>
      <c r="H1" s="4"/>
      <c r="I1" s="4"/>
      <c r="J1" s="4"/>
      <c r="K1" s="5"/>
      <c r="L1" s="5"/>
      <c r="M1" s="5"/>
      <c r="N1" s="4"/>
      <c r="O1" s="4"/>
      <c r="P1" s="4"/>
      <c r="Q1" s="4"/>
      <c r="R1" s="4"/>
      <c r="S1" s="4"/>
      <c r="T1" s="4" t="s">
        <v>37</v>
      </c>
      <c r="U1" s="4" t="s">
        <v>38</v>
      </c>
      <c r="V1" s="6"/>
      <c r="W1" s="6"/>
      <c r="X1" s="6"/>
      <c r="Y1" s="6" t="s">
        <v>10</v>
      </c>
      <c r="Z1" s="6" t="s">
        <v>11</v>
      </c>
      <c r="AA1" s="6" t="s">
        <v>19</v>
      </c>
      <c r="AB1" s="5" t="s">
        <v>22</v>
      </c>
      <c r="AC1" s="5" t="s">
        <v>23</v>
      </c>
      <c r="AD1" s="31" t="s">
        <v>10</v>
      </c>
      <c r="AE1" s="31"/>
      <c r="AF1" s="31" t="s">
        <v>11</v>
      </c>
      <c r="AG1" s="31"/>
      <c r="AH1" s="7"/>
      <c r="AI1" s="7"/>
      <c r="AJ1" s="7"/>
      <c r="AK1" s="7"/>
      <c r="AL1" s="7"/>
      <c r="AM1" s="7"/>
      <c r="AN1" s="7"/>
      <c r="AO1" s="7"/>
      <c r="AP1" s="7"/>
      <c r="AQ1" s="7"/>
      <c r="AR1" s="7"/>
      <c r="AS1" s="7"/>
    </row>
    <row r="2" spans="1:45" x14ac:dyDescent="0.3">
      <c r="A2" s="22" t="s">
        <v>1</v>
      </c>
      <c r="B2" s="4" t="s">
        <v>3</v>
      </c>
      <c r="C2" s="2" t="s">
        <v>25</v>
      </c>
      <c r="D2" s="5"/>
      <c r="E2" s="5"/>
      <c r="F2" s="4"/>
      <c r="G2" s="2" t="s">
        <v>4</v>
      </c>
      <c r="H2" s="4"/>
      <c r="I2" s="4"/>
      <c r="J2" s="4"/>
      <c r="K2" s="6" t="s">
        <v>35</v>
      </c>
      <c r="L2" s="6"/>
      <c r="M2" s="6" t="s">
        <v>35</v>
      </c>
      <c r="N2" s="6"/>
      <c r="O2" s="6" t="s">
        <v>35</v>
      </c>
      <c r="P2" s="5"/>
      <c r="Q2" s="6" t="s">
        <v>35</v>
      </c>
      <c r="R2" s="5"/>
      <c r="S2" s="4"/>
      <c r="T2" s="8" t="str">
        <f>IF(AND($K$7&gt;=$W2,$K$7&lt;=$X2),"OK","Not valid")</f>
        <v>OK</v>
      </c>
      <c r="U2" s="8" t="str">
        <f>IF(AND($O$7&gt;=$W2,$O$7&lt;=$X2),"OK","Not valid")</f>
        <v>OK</v>
      </c>
      <c r="V2" s="6" t="s">
        <v>25</v>
      </c>
      <c r="W2" s="9">
        <v>2.5</v>
      </c>
      <c r="X2" s="9">
        <v>4.5</v>
      </c>
      <c r="Y2" s="6">
        <f>K7*AD2+AE2</f>
        <v>4.6575100715963451</v>
      </c>
      <c r="Z2" s="6">
        <f>K7*AF2+AG2</f>
        <v>4.420396781343837</v>
      </c>
      <c r="AA2" s="6">
        <v>20</v>
      </c>
      <c r="AB2" s="5">
        <f>Y2/2</f>
        <v>2.3287550357981726</v>
      </c>
      <c r="AC2" s="5">
        <f>Z2/2</f>
        <v>2.2101983906719185</v>
      </c>
      <c r="AD2" s="31">
        <v>1.47333114312757</v>
      </c>
      <c r="AE2" s="31">
        <v>-0.49914892935014998</v>
      </c>
      <c r="AF2" s="31">
        <v>1.4674270120019799</v>
      </c>
      <c r="AG2" s="31">
        <v>-0.715597760663092</v>
      </c>
      <c r="AH2" s="7"/>
      <c r="AI2" s="7"/>
      <c r="AJ2" s="7"/>
      <c r="AK2" s="7"/>
      <c r="AL2" s="7"/>
      <c r="AM2" s="7"/>
      <c r="AN2" s="7"/>
      <c r="AO2" s="7"/>
      <c r="AP2" s="7"/>
      <c r="AQ2" s="7"/>
      <c r="AR2" s="7"/>
      <c r="AS2" s="7"/>
    </row>
    <row r="3" spans="1:45" x14ac:dyDescent="0.3">
      <c r="A3" s="22"/>
      <c r="B3" s="4"/>
      <c r="C3" s="4"/>
      <c r="D3" s="4"/>
      <c r="E3" s="4"/>
      <c r="F3" s="4"/>
      <c r="G3" s="4"/>
      <c r="H3" s="4"/>
      <c r="I3" s="4"/>
      <c r="J3" s="4"/>
      <c r="K3" s="5"/>
      <c r="L3" s="6" t="s">
        <v>35</v>
      </c>
      <c r="M3" s="5"/>
      <c r="N3" s="6" t="s">
        <v>35</v>
      </c>
      <c r="O3" s="5"/>
      <c r="P3" s="6" t="s">
        <v>35</v>
      </c>
      <c r="Q3" s="5"/>
      <c r="R3" s="6" t="s">
        <v>35</v>
      </c>
      <c r="S3" s="4"/>
      <c r="T3" s="8" t="str">
        <f t="shared" ref="T3:T5" si="0">IF(AND($K$7&gt;=$W3,$K$7&lt;=$X3),"OK","Not valid")</f>
        <v>OK</v>
      </c>
      <c r="U3" s="8" t="str">
        <f t="shared" ref="U3:U5" si="1">IF(AND($O$7&gt;=$W3,$O$7&lt;=$X3),"OK","Not valid")</f>
        <v>OK</v>
      </c>
      <c r="V3" s="6" t="s">
        <v>4</v>
      </c>
      <c r="W3" s="9">
        <v>2.2000000000000002</v>
      </c>
      <c r="X3" s="9">
        <v>4.8</v>
      </c>
      <c r="Y3" s="6">
        <f>K7*AD3+AE3</f>
        <v>3.2457883365</v>
      </c>
      <c r="Z3" s="6">
        <f>K7*AF3+AG3</f>
        <v>3.0574877535000002</v>
      </c>
      <c r="AA3" s="6">
        <v>20</v>
      </c>
      <c r="AB3" s="5">
        <f>Y3/2</f>
        <v>1.62289416825</v>
      </c>
      <c r="AC3" s="5">
        <f t="shared" ref="AC3:AC5" si="2">Z3/2</f>
        <v>1.5287438767500001</v>
      </c>
      <c r="AD3" s="31">
        <v>0.97923139699999995</v>
      </c>
      <c r="AE3" s="31">
        <v>-0.181521553</v>
      </c>
      <c r="AF3" s="31">
        <v>0.97902782300000002</v>
      </c>
      <c r="AG3" s="31">
        <v>-0.369109627</v>
      </c>
      <c r="AH3" s="7"/>
      <c r="AI3" s="7"/>
      <c r="AJ3" s="7"/>
      <c r="AK3" s="7"/>
      <c r="AL3" s="7"/>
      <c r="AM3" s="7"/>
      <c r="AN3" s="7"/>
      <c r="AO3" s="7"/>
      <c r="AP3" s="7"/>
      <c r="AQ3" s="7"/>
      <c r="AR3" s="7"/>
      <c r="AS3" s="7"/>
    </row>
    <row r="4" spans="1:45" x14ac:dyDescent="0.3">
      <c r="A4" s="22"/>
      <c r="B4" s="4"/>
      <c r="C4" s="5" t="s">
        <v>6</v>
      </c>
      <c r="D4" s="5"/>
      <c r="E4" s="5" t="s">
        <v>7</v>
      </c>
      <c r="F4" s="4"/>
      <c r="G4" s="5" t="s">
        <v>6</v>
      </c>
      <c r="H4" s="5"/>
      <c r="I4" s="5" t="s">
        <v>7</v>
      </c>
      <c r="J4" s="4"/>
      <c r="K4" s="5" t="s">
        <v>6</v>
      </c>
      <c r="L4" s="5"/>
      <c r="M4" s="5" t="s">
        <v>7</v>
      </c>
      <c r="N4" s="4"/>
      <c r="O4" s="5" t="s">
        <v>6</v>
      </c>
      <c r="P4" s="5"/>
      <c r="Q4" s="5" t="s">
        <v>7</v>
      </c>
      <c r="R4" s="4"/>
      <c r="S4" s="4"/>
      <c r="T4" s="8" t="str">
        <f t="shared" si="0"/>
        <v>OK</v>
      </c>
      <c r="U4" s="8" t="str">
        <f t="shared" si="1"/>
        <v>OK</v>
      </c>
      <c r="V4" s="6" t="s">
        <v>26</v>
      </c>
      <c r="W4" s="6">
        <v>3.5</v>
      </c>
      <c r="X4" s="6">
        <v>7.5</v>
      </c>
      <c r="Y4" s="6">
        <f>K7*AD4+AE4</f>
        <v>2.0024796998924619</v>
      </c>
      <c r="Z4" s="6">
        <f>K7*AF4+AG4</f>
        <v>1.8516042214412343</v>
      </c>
      <c r="AA4" s="6">
        <v>20</v>
      </c>
      <c r="AB4" s="5">
        <f>Y4/2</f>
        <v>1.0012398499462309</v>
      </c>
      <c r="AC4" s="5">
        <f t="shared" si="2"/>
        <v>0.92580211072061713</v>
      </c>
      <c r="AD4" s="31">
        <v>0.61772714746243396</v>
      </c>
      <c r="AE4" s="31">
        <v>-0.15956531622605699</v>
      </c>
      <c r="AF4" s="31">
        <v>0.62152048363024504</v>
      </c>
      <c r="AG4" s="31">
        <v>-0.32371747126462302</v>
      </c>
      <c r="AH4" s="7"/>
      <c r="AI4" s="7"/>
      <c r="AJ4" s="7"/>
      <c r="AK4" s="7"/>
      <c r="AL4" s="7"/>
      <c r="AM4" s="7"/>
      <c r="AN4" s="7"/>
      <c r="AO4" s="7"/>
      <c r="AP4" s="7"/>
      <c r="AQ4" s="7"/>
      <c r="AR4" s="7"/>
      <c r="AS4" s="7"/>
    </row>
    <row r="5" spans="1:45" x14ac:dyDescent="0.3">
      <c r="A5" s="22" t="s">
        <v>5</v>
      </c>
      <c r="B5" s="4" t="s">
        <v>3</v>
      </c>
      <c r="C5" s="10">
        <f>IF($C$2&lt;&gt;"",$K$5*VLOOKUP($D7,V11:X15,3,FALSE),"-")</f>
        <v>2.5</v>
      </c>
      <c r="D5" s="11" t="s">
        <v>21</v>
      </c>
      <c r="E5" s="10">
        <f>IF($C$2&lt;&gt;"",$M$5*VLOOKUP($D7,V11:X15,3,FALSE),"-")</f>
        <v>4.5</v>
      </c>
      <c r="F5" s="12"/>
      <c r="G5" s="10">
        <f>IF($G$2&lt;&gt;"",$O$5*VLOOKUP($H7,$V$11:$X$15,3,FALSE),"-")</f>
        <v>2.2000000000000002</v>
      </c>
      <c r="H5" s="11" t="s">
        <v>21</v>
      </c>
      <c r="I5" s="10">
        <f>IF($G$2&lt;&gt;"",$Q$5*VLOOKUP($H7,$V$11:$X$15,3,FALSE),"-")</f>
        <v>4.8</v>
      </c>
      <c r="J5" s="12"/>
      <c r="K5" s="10">
        <f>IF($C$2&lt;&gt;"",VLOOKUP($C$2,$V$2:$Z$5,2,FALSE),"")</f>
        <v>2.5</v>
      </c>
      <c r="L5" s="11" t="s">
        <v>21</v>
      </c>
      <c r="M5" s="10">
        <f>IF($C$2&lt;&gt;"",VLOOKUP($C$2,$V$2:$Z$5,3,FALSE),"")</f>
        <v>4.5</v>
      </c>
      <c r="N5" s="4" t="s">
        <v>13</v>
      </c>
      <c r="O5" s="10">
        <f>IF($G$2&lt;&gt;"",VLOOKUP($G$2,$V$2:$Z$5,2,FALSE),"")</f>
        <v>2.2000000000000002</v>
      </c>
      <c r="P5" s="11" t="s">
        <v>21</v>
      </c>
      <c r="Q5" s="10">
        <f>IF($G$2&lt;&gt;"",VLOOKUP($G$2,$V$2:$Z$5,3,FALSE),"")</f>
        <v>4.8</v>
      </c>
      <c r="R5" s="4" t="s">
        <v>13</v>
      </c>
      <c r="S5" s="4"/>
      <c r="T5" s="8" t="str">
        <f t="shared" si="0"/>
        <v>Not valid</v>
      </c>
      <c r="U5" s="8" t="str">
        <f t="shared" si="1"/>
        <v>Not valid</v>
      </c>
      <c r="V5" s="6" t="s">
        <v>24</v>
      </c>
      <c r="W5" s="6">
        <v>7</v>
      </c>
      <c r="X5" s="6">
        <v>15.5</v>
      </c>
      <c r="Y5" s="6">
        <f>K7*AD5+AE5</f>
        <v>0.92410616499999998</v>
      </c>
      <c r="Z5" s="6">
        <f>K7*AF5+AG5</f>
        <v>0.87403848399999995</v>
      </c>
      <c r="AA5" s="6">
        <v>20</v>
      </c>
      <c r="AB5" s="5">
        <f>Y5/2</f>
        <v>0.46205308249999999</v>
      </c>
      <c r="AC5" s="5">
        <f t="shared" si="2"/>
        <v>0.43701924199999997</v>
      </c>
      <c r="AD5" s="31">
        <v>0.28538741000000001</v>
      </c>
      <c r="AE5" s="31">
        <v>-7.4749769999999993E-2</v>
      </c>
      <c r="AF5" s="31">
        <v>0.28890355000000001</v>
      </c>
      <c r="AG5" s="31">
        <v>-0.137123941</v>
      </c>
      <c r="AH5" s="7"/>
      <c r="AI5" s="7"/>
      <c r="AJ5" s="7"/>
      <c r="AK5" s="7"/>
      <c r="AL5" s="7"/>
      <c r="AM5" s="7"/>
      <c r="AN5" s="7"/>
      <c r="AO5" s="7"/>
      <c r="AP5" s="7"/>
      <c r="AQ5" s="7"/>
      <c r="AR5" s="7"/>
      <c r="AS5" s="7"/>
    </row>
    <row r="6" spans="1:45" x14ac:dyDescent="0.3">
      <c r="A6" s="22"/>
      <c r="B6" s="4"/>
      <c r="C6" s="5"/>
      <c r="D6" s="5"/>
      <c r="E6" s="5"/>
      <c r="F6" s="4"/>
      <c r="G6" s="4"/>
      <c r="H6" s="4"/>
      <c r="I6" s="4"/>
      <c r="J6" s="4"/>
      <c r="K6" s="5"/>
      <c r="L6" s="5"/>
      <c r="M6" s="5"/>
      <c r="N6" s="4"/>
      <c r="O6" s="4"/>
      <c r="P6" s="4"/>
      <c r="Q6" s="4"/>
      <c r="R6" s="4"/>
      <c r="S6" s="4"/>
      <c r="T6" s="4"/>
      <c r="U6" s="4"/>
      <c r="V6" s="6"/>
      <c r="W6" s="6"/>
      <c r="X6" s="6"/>
      <c r="Y6" s="6"/>
      <c r="Z6" s="6"/>
      <c r="AA6" s="6"/>
      <c r="AB6" s="6"/>
      <c r="AC6" s="6"/>
      <c r="AD6" s="6"/>
      <c r="AE6" s="6"/>
      <c r="AF6" s="6"/>
      <c r="AG6" s="6"/>
      <c r="AH6" s="7"/>
      <c r="AI6" s="7"/>
      <c r="AJ6" s="7"/>
      <c r="AK6" s="7"/>
      <c r="AL6" s="7"/>
      <c r="AM6" s="7"/>
      <c r="AN6" s="7"/>
      <c r="AO6" s="7"/>
      <c r="AP6" s="7"/>
      <c r="AQ6" s="7"/>
      <c r="AR6" s="7"/>
      <c r="AS6" s="7"/>
    </row>
    <row r="7" spans="1:45" x14ac:dyDescent="0.3">
      <c r="A7" s="22" t="s">
        <v>0</v>
      </c>
      <c r="B7" s="4" t="s">
        <v>3</v>
      </c>
      <c r="C7" s="3">
        <v>3.5</v>
      </c>
      <c r="D7" s="30" t="s">
        <v>13</v>
      </c>
      <c r="E7" s="12"/>
      <c r="F7" s="4"/>
      <c r="G7" s="3">
        <v>3.5</v>
      </c>
      <c r="H7" s="30" t="s">
        <v>13</v>
      </c>
      <c r="I7" s="12"/>
      <c r="J7" s="4"/>
      <c r="K7" s="27">
        <f>IF(AND($C$2&lt;&gt;"", $C$7&lt;&gt;""),$C$7*VLOOKUP($D$7,$V$11:$X$15,2,FALSE),"")</f>
        <v>3.5</v>
      </c>
      <c r="L7" s="12" t="s">
        <v>13</v>
      </c>
      <c r="M7" s="22" t="s">
        <v>41</v>
      </c>
      <c r="N7" s="12" t="b">
        <f>NOT(ISERROR(K7))</f>
        <v>1</v>
      </c>
      <c r="O7" s="27">
        <f>IF(AND($G$2&lt;&gt;"", $G$7&lt;&gt;""),$G$7*VLOOKUP($H$7,$V$11:$X$15,2,FALSE),"")</f>
        <v>3.5</v>
      </c>
      <c r="P7" s="12" t="s">
        <v>13</v>
      </c>
      <c r="Q7" s="22" t="s">
        <v>41</v>
      </c>
      <c r="R7" s="12" t="b">
        <f>NOT(ISERROR(O7))</f>
        <v>1</v>
      </c>
      <c r="S7" s="4"/>
      <c r="T7" s="4"/>
      <c r="U7" s="4"/>
      <c r="V7" s="6"/>
      <c r="W7" s="6"/>
      <c r="X7" s="6"/>
      <c r="Y7" s="6"/>
      <c r="Z7" s="6"/>
      <c r="AA7" s="6"/>
      <c r="AB7" s="6"/>
      <c r="AC7" s="6"/>
      <c r="AD7" s="6"/>
      <c r="AE7" s="6"/>
      <c r="AF7" s="6"/>
      <c r="AG7" s="6"/>
      <c r="AH7" s="7"/>
      <c r="AI7" s="7"/>
      <c r="AJ7" s="7"/>
      <c r="AK7" s="7"/>
      <c r="AL7" s="7"/>
      <c r="AM7" s="7"/>
      <c r="AN7" s="7"/>
      <c r="AO7" s="7"/>
      <c r="AP7" s="7"/>
      <c r="AQ7" s="7"/>
      <c r="AR7" s="7"/>
      <c r="AS7" s="7"/>
    </row>
    <row r="8" spans="1:45" x14ac:dyDescent="0.3">
      <c r="A8" s="22"/>
      <c r="B8" s="4"/>
      <c r="C8" s="13"/>
      <c r="D8" s="13"/>
      <c r="E8" s="12"/>
      <c r="F8" s="4"/>
      <c r="G8" s="4"/>
      <c r="H8" s="4"/>
      <c r="I8" s="4"/>
      <c r="J8" s="4"/>
      <c r="K8" s="13"/>
      <c r="L8" s="13"/>
      <c r="M8" s="12"/>
      <c r="N8" s="4"/>
      <c r="O8" s="4"/>
      <c r="P8" s="4"/>
      <c r="Q8" s="4"/>
      <c r="R8" s="4"/>
      <c r="S8" s="4"/>
      <c r="T8" s="4"/>
      <c r="U8" s="4"/>
      <c r="V8" s="6"/>
      <c r="W8" s="6"/>
      <c r="X8" s="6"/>
      <c r="Y8" s="6"/>
      <c r="Z8" s="6"/>
      <c r="AA8" s="6"/>
      <c r="AB8" s="6"/>
      <c r="AC8" s="6"/>
      <c r="AD8" s="6"/>
      <c r="AE8" s="6"/>
      <c r="AF8" s="6"/>
      <c r="AG8" s="6"/>
      <c r="AH8" s="7"/>
      <c r="AI8" s="7"/>
      <c r="AJ8" s="7"/>
      <c r="AK8" s="7"/>
      <c r="AL8" s="7"/>
      <c r="AM8" s="7"/>
      <c r="AN8" s="7"/>
      <c r="AO8" s="7"/>
      <c r="AP8" s="7"/>
      <c r="AQ8" s="7"/>
      <c r="AR8" s="7"/>
      <c r="AS8" s="7"/>
    </row>
    <row r="9" spans="1:45" x14ac:dyDescent="0.3">
      <c r="A9" s="22"/>
      <c r="B9" s="4"/>
      <c r="C9" s="5"/>
      <c r="D9" s="5"/>
      <c r="E9" s="12"/>
      <c r="F9" s="4"/>
      <c r="G9" s="4"/>
      <c r="H9" s="4"/>
      <c r="I9" s="4"/>
      <c r="J9" s="4"/>
      <c r="K9" s="5"/>
      <c r="L9" s="5"/>
      <c r="M9" s="12"/>
      <c r="N9" s="4"/>
      <c r="O9" s="4"/>
      <c r="P9" s="4"/>
      <c r="Q9" s="4"/>
      <c r="R9" s="4"/>
      <c r="S9" s="4"/>
      <c r="T9" s="4"/>
      <c r="U9" s="4"/>
      <c r="V9" s="6"/>
      <c r="W9" s="6"/>
      <c r="X9" s="6"/>
      <c r="Y9" s="6"/>
      <c r="Z9" s="6"/>
      <c r="AA9" s="6"/>
      <c r="AB9" s="6"/>
      <c r="AC9" s="6"/>
      <c r="AD9" s="6"/>
      <c r="AE9" s="6"/>
      <c r="AF9" s="6"/>
      <c r="AG9" s="6"/>
      <c r="AH9" s="7"/>
      <c r="AI9" s="7"/>
      <c r="AJ9" s="7"/>
      <c r="AK9" s="7"/>
      <c r="AL9" s="7"/>
      <c r="AM9" s="7"/>
      <c r="AN9" s="7"/>
      <c r="AO9" s="7"/>
      <c r="AP9" s="7"/>
      <c r="AQ9" s="7"/>
      <c r="AR9" s="7"/>
      <c r="AS9" s="7"/>
    </row>
    <row r="10" spans="1:45" x14ac:dyDescent="0.3">
      <c r="A10" s="22" t="s">
        <v>20</v>
      </c>
      <c r="B10" s="4" t="s">
        <v>3</v>
      </c>
      <c r="C10" s="10">
        <f>IF($K$10&lt;&gt;"",$K$10*VLOOKUP($D$12,$V$11:$X$15,3,FALSE),"-")</f>
        <v>2.9911538139375349</v>
      </c>
      <c r="D10" s="5" t="s">
        <v>21</v>
      </c>
      <c r="E10" s="10">
        <f>IF($M$10&lt;&gt;"",$M$10*VLOOKUP($D$12,$V$11:$X$15,3,FALSE),"-")</f>
        <v>3.7389422674219186</v>
      </c>
      <c r="F10" s="12"/>
      <c r="G10" s="7"/>
      <c r="H10" s="33"/>
      <c r="I10" s="13"/>
      <c r="J10" s="4"/>
      <c r="K10" s="10">
        <f>IF(AND(N7,R7),IF(AND(K7&lt;&gt;"",K7&gt;=K5, K7&lt;=M5, O7&lt;&gt;"",O7&gt;=O5,O7&lt;=Q5), M10/100*(100-(VLOOKUP(C2,V2:AC5,6,FALSE))),""),"")</f>
        <v>2.9911538139375349</v>
      </c>
      <c r="L10" s="5" t="s">
        <v>21</v>
      </c>
      <c r="M10" s="10">
        <f>IF(AND(N7,R7),IF(AND(K7&lt;&gt;"",K7&gt;=K5, K7&lt;=M5, O7&lt;&gt;"",O7&gt;=O5,O7&lt;=Q5), VLOOKUP(C2,V2:AC5,8,FALSE)+VLOOKUP(G2,V2:AC5,8,FALSE),""),"")</f>
        <v>3.7389422674219186</v>
      </c>
      <c r="N10" s="34" t="s">
        <v>13</v>
      </c>
      <c r="O10" s="7"/>
      <c r="P10" s="33"/>
      <c r="Q10" s="13"/>
      <c r="R10" s="4"/>
      <c r="S10" s="4"/>
      <c r="T10" s="4"/>
      <c r="U10" s="4"/>
      <c r="V10" s="6"/>
      <c r="W10" s="6"/>
      <c r="X10" s="6"/>
      <c r="Y10" s="6"/>
      <c r="Z10" s="6"/>
      <c r="AA10" s="6"/>
      <c r="AB10" s="6"/>
      <c r="AC10" s="6"/>
      <c r="AD10" s="6"/>
      <c r="AE10" s="6"/>
      <c r="AF10" s="6"/>
      <c r="AG10" s="6"/>
      <c r="AH10" s="7"/>
      <c r="AI10" s="7"/>
      <c r="AJ10" s="7"/>
      <c r="AK10" s="7"/>
      <c r="AL10" s="7"/>
      <c r="AM10" s="7"/>
      <c r="AN10" s="7"/>
      <c r="AO10" s="7"/>
      <c r="AP10" s="7"/>
      <c r="AQ10" s="7"/>
      <c r="AR10" s="7"/>
      <c r="AS10" s="7"/>
    </row>
    <row r="11" spans="1:45" ht="15" thickBot="1" x14ac:dyDescent="0.35">
      <c r="A11" s="22"/>
      <c r="B11" s="4"/>
      <c r="C11" s="5"/>
      <c r="D11" s="5"/>
      <c r="E11" s="12"/>
      <c r="F11" s="4"/>
      <c r="G11" s="4"/>
      <c r="H11" s="4"/>
      <c r="I11" s="4"/>
      <c r="J11" s="4"/>
      <c r="K11" s="5"/>
      <c r="L11" s="5"/>
      <c r="M11" s="12"/>
      <c r="N11" s="4"/>
      <c r="O11" s="4"/>
      <c r="P11" s="4"/>
      <c r="Q11" s="4"/>
      <c r="R11" s="4"/>
      <c r="S11" s="4"/>
      <c r="T11" s="4"/>
      <c r="U11" s="4"/>
      <c r="V11" s="7" t="s">
        <v>31</v>
      </c>
      <c r="W11" s="7">
        <v>1E-3</v>
      </c>
      <c r="X11" s="7">
        <v>1000</v>
      </c>
      <c r="Y11" s="6"/>
      <c r="Z11" s="6"/>
      <c r="AA11" s="6"/>
      <c r="AB11" s="6"/>
      <c r="AC11" s="6"/>
      <c r="AD11" s="6"/>
      <c r="AE11" s="6"/>
      <c r="AF11" s="6"/>
      <c r="AG11" s="6"/>
      <c r="AH11" s="7"/>
      <c r="AI11" s="7"/>
      <c r="AJ11" s="7"/>
      <c r="AK11" s="7"/>
      <c r="AL11" s="7"/>
      <c r="AM11" s="7"/>
      <c r="AN11" s="7"/>
      <c r="AO11" s="7"/>
      <c r="AP11" s="7"/>
      <c r="AQ11" s="7"/>
      <c r="AR11" s="7"/>
      <c r="AS11" s="7"/>
    </row>
    <row r="12" spans="1:45" ht="15" thickBot="1" x14ac:dyDescent="0.35">
      <c r="A12" s="22" t="s">
        <v>18</v>
      </c>
      <c r="B12" s="4" t="s">
        <v>3</v>
      </c>
      <c r="C12" s="14">
        <f>IF($K$12&lt;&gt;"",$K$12*VLOOKUP($D$12,$V$11:$X$15,3,FALSE),"-")</f>
        <v>3.7389422674219186</v>
      </c>
      <c r="D12" s="30" t="s">
        <v>13</v>
      </c>
      <c r="E12" s="15"/>
      <c r="F12" s="7"/>
      <c r="G12" s="12"/>
      <c r="H12" s="4"/>
      <c r="I12" s="4"/>
      <c r="J12" s="4"/>
      <c r="K12" s="14">
        <f>IF(AND(N7,R7),IF(AND(K7&gt;=K5, K7&lt;=M5, O7&gt;=O5,O7&lt;=Q5), M10,""),"")</f>
        <v>3.7389422674219186</v>
      </c>
      <c r="L12" s="12" t="s">
        <v>13</v>
      </c>
      <c r="M12" s="15"/>
      <c r="N12" s="7"/>
      <c r="O12" s="12"/>
      <c r="P12" s="4"/>
      <c r="Q12" s="4"/>
      <c r="R12" s="4"/>
      <c r="S12" s="4"/>
      <c r="T12" s="4"/>
      <c r="U12" s="4"/>
      <c r="V12" s="7" t="s">
        <v>32</v>
      </c>
      <c r="W12" s="7">
        <v>0.01</v>
      </c>
      <c r="X12" s="7">
        <v>100</v>
      </c>
      <c r="Y12" s="6"/>
      <c r="Z12" s="6"/>
      <c r="AA12" s="6"/>
      <c r="AB12" s="6"/>
      <c r="AC12" s="6"/>
      <c r="AD12" s="6"/>
      <c r="AE12" s="6"/>
      <c r="AF12" s="6"/>
      <c r="AG12" s="6"/>
      <c r="AH12" s="7"/>
      <c r="AI12" s="7"/>
      <c r="AJ12" s="7"/>
      <c r="AK12" s="7"/>
      <c r="AL12" s="7"/>
      <c r="AM12" s="7"/>
      <c r="AN12" s="7"/>
      <c r="AO12" s="7"/>
      <c r="AP12" s="7"/>
      <c r="AQ12" s="7"/>
      <c r="AR12" s="7"/>
      <c r="AS12" s="7"/>
    </row>
    <row r="13" spans="1:45" x14ac:dyDescent="0.3">
      <c r="A13" s="22"/>
      <c r="B13" s="4"/>
      <c r="C13" s="5"/>
      <c r="D13" s="5"/>
      <c r="E13" s="5"/>
      <c r="F13" s="4"/>
      <c r="G13" s="4"/>
      <c r="H13" s="4"/>
      <c r="I13" s="4"/>
      <c r="J13" s="4"/>
      <c r="K13" s="5"/>
      <c r="L13" s="5"/>
      <c r="M13" s="5"/>
      <c r="N13" s="4"/>
      <c r="O13" s="4"/>
      <c r="P13" s="4"/>
      <c r="Q13" s="4"/>
      <c r="R13" s="4"/>
      <c r="S13" s="4"/>
      <c r="T13" s="4"/>
      <c r="U13" s="4"/>
      <c r="V13" s="7" t="s">
        <v>13</v>
      </c>
      <c r="W13" s="7">
        <v>1</v>
      </c>
      <c r="X13" s="7">
        <v>1</v>
      </c>
      <c r="Y13" s="6"/>
      <c r="Z13" s="6"/>
      <c r="AA13" s="6"/>
      <c r="AB13" s="6"/>
      <c r="AC13" s="6"/>
      <c r="AD13" s="6"/>
      <c r="AE13" s="6"/>
      <c r="AF13" s="6"/>
      <c r="AG13" s="6"/>
      <c r="AH13" s="7"/>
      <c r="AI13" s="7"/>
      <c r="AJ13" s="7"/>
      <c r="AK13" s="7"/>
      <c r="AL13" s="7"/>
      <c r="AM13" s="7"/>
      <c r="AN13" s="7"/>
      <c r="AO13" s="7"/>
      <c r="AP13" s="7"/>
      <c r="AQ13" s="7"/>
      <c r="AR13" s="7"/>
      <c r="AS13" s="7"/>
    </row>
    <row r="14" spans="1:45" x14ac:dyDescent="0.3">
      <c r="A14" s="22"/>
      <c r="B14" s="4"/>
      <c r="C14" s="4"/>
      <c r="D14" s="4"/>
      <c r="E14" s="4"/>
      <c r="F14" s="4"/>
      <c r="G14" s="4"/>
      <c r="H14" s="4"/>
      <c r="I14" s="4"/>
      <c r="J14" s="4"/>
      <c r="K14" s="12" t="str">
        <f>IF(C2=V5,IF(K12&lt;&gt;"Height!","* Outdoor 3000 units only",""),"")</f>
        <v/>
      </c>
      <c r="L14" s="5"/>
      <c r="M14" s="5"/>
      <c r="N14" s="4"/>
      <c r="O14" s="4"/>
      <c r="P14" s="4"/>
      <c r="Q14" s="4"/>
      <c r="R14" s="4"/>
      <c r="S14" s="4"/>
      <c r="T14" s="4"/>
      <c r="U14" s="4"/>
      <c r="V14" s="7" t="s">
        <v>33</v>
      </c>
      <c r="W14" s="7">
        <v>0.30480000000000002</v>
      </c>
      <c r="X14" s="7">
        <v>3.28084</v>
      </c>
      <c r="Y14" s="6"/>
      <c r="Z14" s="6"/>
      <c r="AA14" s="6"/>
      <c r="AB14" s="6"/>
      <c r="AC14" s="6"/>
      <c r="AD14" s="6"/>
      <c r="AE14" s="6"/>
      <c r="AF14" s="6"/>
      <c r="AG14" s="6"/>
      <c r="AH14" s="7"/>
      <c r="AI14" s="7"/>
      <c r="AJ14" s="7"/>
      <c r="AK14" s="7"/>
      <c r="AL14" s="7"/>
      <c r="AM14" s="7"/>
      <c r="AN14" s="7"/>
      <c r="AO14" s="7"/>
      <c r="AP14" s="7"/>
      <c r="AQ14" s="7"/>
      <c r="AR14" s="7"/>
      <c r="AS14" s="7"/>
    </row>
    <row r="15" spans="1:45" x14ac:dyDescent="0.3">
      <c r="A15" s="22" t="s">
        <v>36</v>
      </c>
      <c r="B15" s="5" t="s">
        <v>3</v>
      </c>
      <c r="C15" s="35" t="str">
        <f>IF(AND($C$2="",$C$7="",$G$2="",$G$7=""),"Enter required Lens Variant and Mounting Heights for both units",V17 &amp; V18)</f>
        <v/>
      </c>
      <c r="D15" s="36"/>
      <c r="E15" s="36"/>
      <c r="F15" s="36"/>
      <c r="G15" s="44"/>
      <c r="H15" s="44"/>
      <c r="I15" s="45"/>
      <c r="J15" s="4"/>
      <c r="K15" s="5"/>
      <c r="L15" s="5"/>
      <c r="M15" s="5"/>
      <c r="N15" s="4"/>
      <c r="O15" s="4"/>
      <c r="P15" s="4"/>
      <c r="Q15" s="4"/>
      <c r="R15" s="4"/>
      <c r="S15" s="4"/>
      <c r="T15" s="4"/>
      <c r="U15" s="4"/>
      <c r="V15" s="7" t="s">
        <v>34</v>
      </c>
      <c r="W15" s="7">
        <v>2.5399999999999999E-2</v>
      </c>
      <c r="X15" s="7">
        <v>39.370100000000001</v>
      </c>
      <c r="Y15" s="6"/>
      <c r="Z15" s="6"/>
      <c r="AA15" s="6"/>
      <c r="AB15" s="6"/>
      <c r="AC15" s="6"/>
      <c r="AD15" s="6"/>
      <c r="AE15" s="6"/>
      <c r="AF15" s="6"/>
      <c r="AG15" s="6"/>
      <c r="AH15" s="7"/>
      <c r="AI15" s="7"/>
      <c r="AJ15" s="7"/>
      <c r="AK15" s="7"/>
      <c r="AL15" s="7"/>
      <c r="AM15" s="7"/>
      <c r="AN15" s="7"/>
      <c r="AO15" s="7"/>
      <c r="AP15" s="7"/>
      <c r="AQ15" s="7"/>
      <c r="AR15" s="7"/>
      <c r="AS15" s="7"/>
    </row>
    <row r="16" spans="1:45" x14ac:dyDescent="0.3">
      <c r="A16" s="22"/>
      <c r="B16" s="5"/>
      <c r="C16" s="38"/>
      <c r="D16" s="39"/>
      <c r="E16" s="39"/>
      <c r="F16" s="39"/>
      <c r="G16" s="46"/>
      <c r="H16" s="46"/>
      <c r="I16" s="4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row>
    <row r="17" spans="1:45" x14ac:dyDescent="0.3">
      <c r="A17" s="22"/>
      <c r="B17" s="5"/>
      <c r="C17" s="41"/>
      <c r="D17" s="42"/>
      <c r="E17" s="42"/>
      <c r="F17" s="42"/>
      <c r="G17" s="48"/>
      <c r="H17" s="48"/>
      <c r="I17" s="49"/>
      <c r="J17" s="7"/>
      <c r="K17" s="7"/>
      <c r="L17" s="7"/>
      <c r="M17" s="7"/>
      <c r="N17" s="7"/>
      <c r="O17" s="7"/>
      <c r="P17" s="7"/>
      <c r="Q17" s="7"/>
      <c r="R17" s="7"/>
      <c r="S17" s="7"/>
      <c r="T17" s="7"/>
      <c r="U17" s="7"/>
      <c r="V17" s="7" t="str">
        <f>IF(AND($C$2="",$C$7=""),"Choose a Lens Variant and a Mounting Height for Unit 1" &amp; CHAR(10),IF($C$2="","Choose a Lens Variant for Unit 1"&amp; CHAR(10),IF($C$7="","Enter a Mounting Height for Unit 1"&amp; CHAR(10),IF(NOT(N7),"Invalid Mounting Height entry for Unit 1" &amp; CHAR(10),IF($C$7&lt;$C$5,"Mounting Height too Low for Unit 1's chosen Lens Variant"&amp; CHAR(10),IF($C$7&gt;$E$5,"Mounting Height too High for Unit 1's chosen Lens Variant"&amp; CHAR(10),""))))))</f>
        <v/>
      </c>
      <c r="W17" s="7"/>
      <c r="X17" s="7"/>
      <c r="Y17" s="7"/>
      <c r="Z17" s="7"/>
      <c r="AA17" s="7"/>
      <c r="AB17" s="7"/>
      <c r="AC17" s="7"/>
      <c r="AD17" s="7"/>
      <c r="AE17" s="7"/>
      <c r="AF17" s="7"/>
      <c r="AG17" s="7"/>
      <c r="AH17" s="7"/>
      <c r="AI17" s="7"/>
      <c r="AJ17" s="7"/>
      <c r="AK17" s="7"/>
      <c r="AL17" s="7"/>
      <c r="AM17" s="7"/>
      <c r="AN17" s="7"/>
      <c r="AO17" s="7"/>
      <c r="AP17" s="7"/>
      <c r="AQ17" s="7"/>
      <c r="AR17" s="7"/>
      <c r="AS17" s="7"/>
    </row>
    <row r="18" spans="1:45" x14ac:dyDescent="0.3">
      <c r="A18" s="23"/>
      <c r="B18" s="7"/>
      <c r="C18" s="7"/>
      <c r="D18" s="7"/>
      <c r="E18" s="7"/>
      <c r="F18" s="7"/>
      <c r="G18" s="7"/>
      <c r="H18" s="7"/>
      <c r="I18" s="7"/>
      <c r="J18" s="7"/>
      <c r="K18" s="7"/>
      <c r="L18" s="7"/>
      <c r="M18" s="7"/>
      <c r="N18" s="7"/>
      <c r="O18" s="7"/>
      <c r="P18" s="7"/>
      <c r="Q18" s="7"/>
      <c r="R18" s="7"/>
      <c r="S18" s="7"/>
      <c r="T18" s="7"/>
      <c r="U18" s="7"/>
      <c r="V18" s="7" t="str">
        <f>IF(AND($G$2="",$G$7=""),"Choose a Lens Variant and a Mounting Height for Unit 2",IF($G$2="","Choose a Lens Variant for Unit 2",IF($G$7="","Enter a Mounting Height for Unit 2",IF(NOT(R7),"Invalid Mounting Height entry for Unit 2",IF($G$7&lt;$G$5,"Mounting Height too Low for Unit 2's chosen Lens Variant",IF($G$7&gt;$I$5,"Mounting Height too High for Unit 2's chosen Lens Variant",""))))))</f>
        <v/>
      </c>
      <c r="W18" s="7"/>
      <c r="X18" s="7"/>
      <c r="Y18" s="7"/>
      <c r="Z18" s="7"/>
      <c r="AA18" s="7"/>
      <c r="AB18" s="7"/>
      <c r="AC18" s="7"/>
      <c r="AD18" s="7"/>
      <c r="AE18" s="7"/>
      <c r="AF18" s="7"/>
      <c r="AG18" s="7"/>
      <c r="AH18" s="7"/>
      <c r="AI18" s="7"/>
      <c r="AJ18" s="7"/>
      <c r="AK18" s="7"/>
      <c r="AL18" s="7"/>
      <c r="AM18" s="7"/>
      <c r="AN18" s="7"/>
      <c r="AO18" s="7"/>
      <c r="AP18" s="7"/>
      <c r="AQ18" s="7"/>
      <c r="AR18" s="7"/>
      <c r="AS18" s="7"/>
    </row>
    <row r="19" spans="1:45" x14ac:dyDescent="0.3">
      <c r="A19" s="23"/>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row>
    <row r="20" spans="1:45" x14ac:dyDescent="0.3">
      <c r="A20" s="23"/>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row>
    <row r="21" spans="1:45" x14ac:dyDescent="0.3">
      <c r="A21" s="23"/>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row>
    <row r="22" spans="1:45" x14ac:dyDescent="0.3">
      <c r="A22" s="23"/>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row>
    <row r="23" spans="1:45" x14ac:dyDescent="0.3">
      <c r="A23" s="23"/>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row>
    <row r="24" spans="1:45" x14ac:dyDescent="0.3">
      <c r="A24" s="23"/>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row>
    <row r="25" spans="1:45" x14ac:dyDescent="0.3">
      <c r="A25" s="23"/>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row>
    <row r="26" spans="1:45" x14ac:dyDescent="0.3">
      <c r="A26" s="23"/>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row>
    <row r="27" spans="1:45" x14ac:dyDescent="0.3">
      <c r="A27" s="23"/>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row>
    <row r="28" spans="1:45" x14ac:dyDescent="0.3">
      <c r="A28" s="23"/>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row>
    <row r="29" spans="1:45" x14ac:dyDescent="0.3">
      <c r="A29" s="23"/>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row>
    <row r="30" spans="1:45" x14ac:dyDescent="0.3">
      <c r="A30" s="23"/>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row>
    <row r="31" spans="1:45" x14ac:dyDescent="0.3">
      <c r="A31" s="23"/>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row>
    <row r="32" spans="1:45" x14ac:dyDescent="0.3">
      <c r="A32" s="23"/>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row>
    <row r="33" spans="1:45" x14ac:dyDescent="0.3">
      <c r="A33" s="23"/>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row>
    <row r="34" spans="1:45" x14ac:dyDescent="0.3">
      <c r="A34" s="23"/>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row>
    <row r="35" spans="1:45" x14ac:dyDescent="0.3">
      <c r="A35" s="23"/>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row>
    <row r="36" spans="1:45" x14ac:dyDescent="0.3">
      <c r="A36" s="23"/>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row>
    <row r="37" spans="1:45" x14ac:dyDescent="0.3">
      <c r="A37" s="23"/>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row>
  </sheetData>
  <sheetProtection algorithmName="SHA-512" hashValue="DBFHFZ36PFutQ89bw+dKJg9kGdTLNJ1cVvAyDjrrXPKJ5wJadAzXGmmMwqrYYs098lAkAyoT/71Ltb++k51LUw==" saltValue="/DkBRbnE/T73v9i88KJ4Kw==" spinCount="100000" sheet="1" objects="1" scenarios="1" selectLockedCells="1"/>
  <mergeCells count="1">
    <mergeCell ref="C15:I17"/>
  </mergeCells>
  <conditionalFormatting sqref="C2">
    <cfRule type="expression" dxfId="5" priority="6">
      <formula>$C$2=""</formula>
    </cfRule>
  </conditionalFormatting>
  <conditionalFormatting sqref="G2">
    <cfRule type="expression" dxfId="4" priority="5">
      <formula>$G$2=""</formula>
    </cfRule>
  </conditionalFormatting>
  <conditionalFormatting sqref="G7">
    <cfRule type="expression" dxfId="3" priority="1" stopIfTrue="1">
      <formula>$G$7=""</formula>
    </cfRule>
    <cfRule type="expression" dxfId="2" priority="2">
      <formula>OR(AND($G$5&lt;&gt;"-",$G$7&lt;$G$5),AND($I$5&lt;&gt;"-",$G$7&gt;$I$5))</formula>
    </cfRule>
  </conditionalFormatting>
  <conditionalFormatting sqref="C7">
    <cfRule type="expression" dxfId="1" priority="3" stopIfTrue="1">
      <formula>$C$7=""</formula>
    </cfRule>
    <cfRule type="expression" dxfId="0" priority="4">
      <formula>OR(AND($C$5&lt;&gt;"-",$C$7&lt;$C$5),AND($E$5&lt;&gt;"-",$C$7&gt;$E$5))</formula>
    </cfRule>
  </conditionalFormatting>
  <dataValidations count="4">
    <dataValidation type="decimal" allowBlank="1" showInputMessage="1" showErrorMessage="1" sqref="C8:D8 K8:L8">
      <formula1>C6</formula1>
      <formula2>E6</formula2>
    </dataValidation>
    <dataValidation type="list" allowBlank="1" showInputMessage="1" showErrorMessage="1" sqref="D7 H7 D12">
      <formula1>$V$11:$V$15</formula1>
    </dataValidation>
    <dataValidation type="list" allowBlank="1" showInputMessage="1" showErrorMessage="1" sqref="G2">
      <formula1>$V$2:$V$5</formula1>
    </dataValidation>
    <dataValidation type="list" allowBlank="1" showInputMessage="1" showErrorMessage="1" sqref="C2">
      <formula1>$V$2:$V$5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Field Of View</vt:lpstr>
      <vt:lpstr>No Of Units</vt:lpstr>
      <vt:lpstr>Distance From Door</vt:lpstr>
      <vt:lpstr>Wide Opening Separation</vt:lpstr>
      <vt:lpstr>Wide Opening Separation (Mixed)</vt:lpstr>
    </vt:vector>
  </TitlesOfParts>
  <Company>Danaher TM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Critchlow, Mike</dc:creator>
  <cp:lastModifiedBy>Critchlow, Mike</cp:lastModifiedBy>
  <dcterms:created xsi:type="dcterms:W3CDTF">2015-07-29T12:35:50Z</dcterms:created>
  <dcterms:modified xsi:type="dcterms:W3CDTF">2017-02-20T14:42:42Z</dcterms:modified>
</cp:coreProperties>
</file>